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70" windowWidth="15480" windowHeight="10380" tabRatio="296" activeTab="0"/>
  </bookViews>
  <sheets>
    <sheet name="дод. 11  " sheetId="1" r:id="rId1"/>
  </sheets>
  <definedNames>
    <definedName name="_xlfn.AGGREGATE" hidden="1">#NAME?</definedName>
    <definedName name="_xlnm.Print_Titles" localSheetId="0">'дод. 11  '!$5:$7</definedName>
  </definedNames>
  <calcPr fullCalcOnLoad="1"/>
</workbook>
</file>

<file path=xl/comments1.xml><?xml version="1.0" encoding="utf-8"?>
<comments xmlns="http://schemas.openxmlformats.org/spreadsheetml/2006/main">
  <authors>
    <author>smirnova</author>
    <author>fmg3</author>
  </authors>
  <commentList>
    <comment ref="I72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  <comment ref="D105" authorId="1">
      <text>
        <r>
          <rPr>
            <b/>
            <sz val="9"/>
            <rFont val="Tahoma"/>
            <family val="2"/>
          </rPr>
          <t>fmg3: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<sst xmlns="http://schemas.openxmlformats.org/spreadsheetml/2006/main" count="277" uniqueCount="247">
  <si>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</si>
  <si>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</si>
  <si>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</si>
  <si>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</si>
  <si>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</si>
  <si>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</si>
  <si>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</si>
  <si>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</si>
  <si>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</si>
  <si>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1.22</t>
  </si>
  <si>
    <t>1.24</t>
  </si>
  <si>
    <t>1.25</t>
  </si>
  <si>
    <t>1.26</t>
  </si>
  <si>
    <t>1.27</t>
  </si>
  <si>
    <t>1.28</t>
  </si>
  <si>
    <t>1.29</t>
  </si>
  <si>
    <t>1.30</t>
  </si>
  <si>
    <t>1.31</t>
  </si>
  <si>
    <t>1.37</t>
  </si>
  <si>
    <t>2.</t>
  </si>
  <si>
    <t>3.</t>
  </si>
  <si>
    <t>1.</t>
  </si>
  <si>
    <t>4.</t>
  </si>
  <si>
    <t>5.</t>
  </si>
  <si>
    <t>3.4</t>
  </si>
  <si>
    <t>3.5</t>
  </si>
  <si>
    <t>3.6</t>
  </si>
  <si>
    <t>3.7</t>
  </si>
  <si>
    <t>3.8</t>
  </si>
  <si>
    <t>3.9</t>
  </si>
  <si>
    <t>3.10</t>
  </si>
  <si>
    <t>3.11</t>
  </si>
  <si>
    <t xml:space="preserve">оплата електроенергії фонтанів </t>
  </si>
  <si>
    <t>% виконання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</si>
  <si>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</si>
  <si>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</si>
  <si>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</si>
  <si>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</si>
  <si>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Затверджено по бюджету на 2016 рік </t>
  </si>
  <si>
    <t xml:space="preserve">Уточнений план на 30.10.2016 року </t>
  </si>
  <si>
    <t xml:space="preserve">Загальний фонд </t>
  </si>
  <si>
    <t xml:space="preserve">Спеціальний фонд </t>
  </si>
  <si>
    <t>із них</t>
  </si>
  <si>
    <t>Розрахунок потреби в коштах  ДФП на 2017 рік-10% від уточненого плану на 01.11.2016 року</t>
  </si>
  <si>
    <t>Додаткова потреба в коштах при зміні розміру мін зарплати до 3200 грн.</t>
  </si>
  <si>
    <t>Профінансовано на 01.11.2016 року</t>
  </si>
  <si>
    <t>%</t>
  </si>
  <si>
    <t>Потреба згідно бюджетних запитів</t>
  </si>
  <si>
    <t>% потреби в коштах  проти уточненого плану на 01.11.2016 року</t>
  </si>
  <si>
    <t>Збільшення потреби в коштах проти уточненеого плану на 01.11.2016 року (без врахування останніх змін 25.10.2016 року)</t>
  </si>
  <si>
    <t xml:space="preserve">Примітка </t>
  </si>
  <si>
    <t>(грн.)</t>
  </si>
  <si>
    <t>№ п/п</t>
  </si>
  <si>
    <t>НАПРЯМКИ ВИДАТКІВ</t>
  </si>
  <si>
    <t xml:space="preserve">БЛАГОУСТРІЙ МІСТА </t>
  </si>
  <si>
    <t>Організація роботи інженерного облаштування вуличнно-дорожньої мережі, в т.ч.:</t>
  </si>
  <si>
    <t>х</t>
  </si>
  <si>
    <t>поточний ремонт   мереж зовнішнього освітлення</t>
  </si>
  <si>
    <t>врахована потреба</t>
  </si>
  <si>
    <t>оплата  електроенергії на освітлення міста</t>
  </si>
  <si>
    <t>розрахунок по електроенргії (врахована потреба)</t>
  </si>
  <si>
    <t>послуги балансоутримувача , які мають надаватись при проведенні поточних ремонтів мереж зовнішнього освітлення  підрядною організацією</t>
  </si>
  <si>
    <t>розрахунки КП "Міськсвітло"</t>
  </si>
  <si>
    <t xml:space="preserve">оплата електроенергїї світлофорних об'єктів </t>
  </si>
  <si>
    <t>Забезпечення належного утримання зелених насаджень , в т.ч.:</t>
  </si>
  <si>
    <t>5.6</t>
  </si>
  <si>
    <t>комплексне косіння зелених зон</t>
  </si>
  <si>
    <t>придбання та встановлення кашпо, лавок з урнами</t>
  </si>
  <si>
    <t>утримання газонів на бульварі Шевченка</t>
  </si>
  <si>
    <t>екологія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</si>
  <si>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</si>
  <si>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</si>
  <si>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інвентаризація зелених насаджень</t>
  </si>
  <si>
    <t>Догляд за малими архітектурними формами та створення нових, в т.ч.</t>
  </si>
  <si>
    <t>5.4</t>
  </si>
  <si>
    <t xml:space="preserve">обслуговування  міських фонтанів </t>
  </si>
  <si>
    <t>розрахунки КП "Черкасиводоканал"</t>
  </si>
  <si>
    <t xml:space="preserve">оплата   водопостачання та водовідведення фонтанів </t>
  </si>
  <si>
    <t>4.4</t>
  </si>
  <si>
    <t xml:space="preserve">Організація та утримання місць поховань, в т.ч.: </t>
  </si>
  <si>
    <t xml:space="preserve"> утримання та лікування безпритульних тварин, що знаходяться у комунальних притулках (харчування, лікування, прибирання) (фінансова підтримка КП "Черкаська служба чистоти")</t>
  </si>
  <si>
    <t>Розрахунки КП "ЧСЧ"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</si>
  <si>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</si>
  <si>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</t>
  </si>
  <si>
    <t>1.8</t>
  </si>
  <si>
    <t>5.5</t>
  </si>
  <si>
    <t>Збереження пам'ятників культурної та історичної спадщини, в т.ч.:</t>
  </si>
  <si>
    <t>Капітальний ремонт житлового фонду об'єднань співвласників багатоквартирних будинків</t>
  </si>
  <si>
    <t>бюджет розвитку</t>
  </si>
  <si>
    <t>Разом видатків на поточний рік</t>
  </si>
  <si>
    <t>1.2</t>
  </si>
  <si>
    <t>1.3</t>
  </si>
  <si>
    <t>1.4</t>
  </si>
  <si>
    <t>1.5</t>
  </si>
  <si>
    <t>2.1</t>
  </si>
  <si>
    <t>3.1</t>
  </si>
  <si>
    <t>3.2</t>
  </si>
  <si>
    <t>3.3</t>
  </si>
  <si>
    <t>4.1</t>
  </si>
  <si>
    <t>4.2</t>
  </si>
  <si>
    <t>4.3</t>
  </si>
  <si>
    <t>ВСЬОГО ВИДАТКІВ</t>
  </si>
  <si>
    <t>№з/п</t>
  </si>
  <si>
    <t xml:space="preserve">Передбачено новою програмою по благоустрою 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</si>
  <si>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</si>
  <si>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</si>
  <si>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</si>
  <si>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</si>
  <si>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 xml:space="preserve">відсутні розрахунки КП ККП" </t>
  </si>
  <si>
    <t>5.2</t>
  </si>
  <si>
    <t xml:space="preserve">утримання  міських кладовищ (фінансова підтримка КП "Комбінат комунальних підприємств")  </t>
  </si>
  <si>
    <t>оплата водопостачання кладовищ</t>
  </si>
  <si>
    <t>оплата електроенергії кладовищ</t>
  </si>
  <si>
    <t xml:space="preserve">поховання та транспортування   до моргу на судмедекспертизу одиноких померлих та безрідних громадян  (фінансова підтримка КП "Комбінат комунальних підприємств") </t>
  </si>
  <si>
    <t>Забезпечення чистоти міста , в т.ч.:</t>
  </si>
  <si>
    <t>4.6</t>
  </si>
  <si>
    <t>5.3</t>
  </si>
  <si>
    <t>утримання площ, скверів  та бульвару Шевченка та Пагорба Слави</t>
  </si>
  <si>
    <t>відсутня потреба ДЖКК</t>
  </si>
  <si>
    <t>4.7</t>
  </si>
  <si>
    <t>утримання зелених зон</t>
  </si>
  <si>
    <t>виготовлення та затвердження Схеми санітарного очищення</t>
  </si>
  <si>
    <t>придбання пластикових контейнерів для збору ТПВ</t>
  </si>
  <si>
    <t>4,8</t>
  </si>
  <si>
    <t>1.6</t>
  </si>
  <si>
    <t>5.1</t>
  </si>
  <si>
    <t xml:space="preserve">Організація місць відпочинку на комунальних пляжах міста </t>
  </si>
  <si>
    <t>4.9</t>
  </si>
  <si>
    <t>1.7</t>
  </si>
  <si>
    <t>5.7</t>
  </si>
  <si>
    <t>Утримання та розвиток парків та скверів міста, в т.ч.:</t>
  </si>
  <si>
    <t>розрахунки КП "Дирекція парків"</t>
  </si>
  <si>
    <t xml:space="preserve">утримання зелени насаджень </t>
  </si>
  <si>
    <t>прибирання доріжок</t>
  </si>
  <si>
    <t>4.10</t>
  </si>
  <si>
    <t>Утримання  міських доріг, в т.ч.:</t>
  </si>
  <si>
    <t>Програма дороги</t>
  </si>
  <si>
    <t>1.1</t>
  </si>
  <si>
    <t>ЗАБЕЗПЕЧЕННЯ ФУНКЦІОНУВАННЯ КОМБІНАТІВ КОМУНАЛЬНИХ ПІДПРИЄМСТВ, РАЙОННИХ ВИРОБНИЧИХ ОБ'ЄДНАНЬ ТА ІНШИХ ПІДПРИЄМСТВ, УСТАНОВ ТА ОРГАНІЗАЦІЙ ЖИТЛОВО-КОМУНАЛЬНОГО ГОСПОДАРСТВА</t>
  </si>
  <si>
    <t>4.21</t>
  </si>
  <si>
    <t>Поводження з безпритульними тваринами, в т.ч.:</t>
  </si>
  <si>
    <t xml:space="preserve">поточний ремонт меморіального комплексу "Пагорб Слави" </t>
  </si>
  <si>
    <t>4.11</t>
  </si>
  <si>
    <t>1.9</t>
  </si>
  <si>
    <t>Утримання мереж зливової каналізації, в т.ч.:</t>
  </si>
  <si>
    <t>відсутні розрахунки по світлофорах, по зливовій каналізації</t>
  </si>
  <si>
    <t>5.8</t>
  </si>
  <si>
    <t>водовідведення від накопичувальних басейнів</t>
  </si>
  <si>
    <t>оплата електроенергії для  роботи насосних станцій</t>
  </si>
  <si>
    <t>4.13</t>
  </si>
  <si>
    <t>1.10</t>
  </si>
  <si>
    <t>Прикрашання міста до новорічних свят</t>
  </si>
  <si>
    <t xml:space="preserve">відсутні розрахунки </t>
  </si>
  <si>
    <t xml:space="preserve">4.14 </t>
  </si>
  <si>
    <t>1.11</t>
  </si>
  <si>
    <t>Утримання питних фонтанчиків</t>
  </si>
  <si>
    <t>4.15</t>
  </si>
  <si>
    <t>2.12</t>
  </si>
  <si>
    <t>6</t>
  </si>
  <si>
    <t>Фінансова підтримка  КП "Черкасиводоканал" на виконання    рішень судів  (на користь ПАТ "Азот")</t>
  </si>
  <si>
    <t>4.16</t>
  </si>
  <si>
    <t>2.13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</si>
  <si>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</si>
  <si>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4.17</t>
  </si>
  <si>
    <t>2.14</t>
  </si>
  <si>
    <t>Фінансова підтримка КП "ЧЕЛУАШ" на погашеня кредиторської заборгованості по рішеннямсуду</t>
  </si>
  <si>
    <t>4.18</t>
  </si>
  <si>
    <t>2.15</t>
  </si>
  <si>
    <t>4.3, 6</t>
  </si>
  <si>
    <t xml:space="preserve">Фінансова підтримка на проведення  поточного ремонту  міжбудинкових пішохідних доріжок та  прибудинкових територій житлових  будинків 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</si>
  <si>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</si>
  <si>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</si>
  <si>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</si>
  <si>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 xml:space="preserve"> ЗАХОДИ ПОВ'ЯЗАНІ З ПОЛІПШЕННЯМ ПИТНОЇ ВОДИ </t>
  </si>
  <si>
    <t>зменшено на 10 відс.</t>
  </si>
  <si>
    <t>Дослідження питної води з нецентралізованих джерел водопостачання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</si>
  <si>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і т.п.)</t>
  </si>
  <si>
    <t>Капітальний ремонт житлового фонду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</si>
  <si>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</si>
  <si>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ВИДАТКИ НА ЖИТЛОВО-КОМУНАЛЬНЕ ГОСПОДАРСТВО ЗА РАХУНОК КОШТІВ МІСЬКОГО БЮДЖЕТУ У 2017 РОЦІ</t>
  </si>
  <si>
    <t>параметризація приладів обліку (фінансова підтримка КП " Міськсвітло")</t>
  </si>
  <si>
    <t>Капітальний ремонт спортивного майданчику за адресою: вул. С. Амброса, 147 (з ПКД)</t>
  </si>
  <si>
    <t>Капітальний ремонт житлового будинку по вул. Пастерівській ,11 (мережі теплопостачання), з ПКД</t>
  </si>
  <si>
    <t>Капітальний ремонт житлових будинків (дах, покрівля у 156 будинках)</t>
  </si>
  <si>
    <t>Капітальний ремонт житлового будинку по вул. В.Чорновола, 162/3 (капітальний ремонт даху) (з ПКД)</t>
  </si>
  <si>
    <t>Капітальний ремонт житлового будинку по бульв. Шевченка, 276 (покрівля та підвальні приміщення)</t>
  </si>
  <si>
    <t>Капітальний ремонт житлового будинку № 14/2 по вул. Хоменка (покрівля)</t>
  </si>
  <si>
    <t>Капітальний ремонт житлового будинку №115 по вул. Нижня Горова (заміна вікон)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</si>
  <si>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</si>
  <si>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</si>
  <si>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Капітальний ремонт житлового будинку №50 по вул. Толстого (заміна вікон)</t>
  </si>
  <si>
    <t>Капітальний ремонт житлового будинку №76 по вул. Толстого (заміна вікон)</t>
  </si>
  <si>
    <t>Капітальний ремонт житлового будинку №78 по вул. Толстого (заміна вікон)</t>
  </si>
  <si>
    <t>Капітальний ремонт житлового будинку №9а по вул. Чехова (заміна вікон)</t>
  </si>
  <si>
    <t>Капітальний ремонт житлового будинку №43 по вул. Різдвяна (заміна вікон)</t>
  </si>
  <si>
    <t>Капітальний ремонт житлового будинку №57 по вул. Різдвяна (заміна вікон)</t>
  </si>
  <si>
    <t>Капітальний ремонт житлового будинку №57/1 по вул. Різдвяна (заміна вікон)</t>
  </si>
  <si>
    <t>в тому числі за рахунок субвенції з обласного бюджету на преміювання переможців обласного конкурсу з благоустрою населених пунктів області "Територія комфорту"</t>
  </si>
  <si>
    <t>придбання інвентарю для пляжів і утримання пляжів (фінансова підтримка КП "Дирекція парків")</t>
  </si>
  <si>
    <t>поточний ремонт Берегоукріплення мікрорайону "Митниця" -1 черга (фінансова підтримка КП "Дирекція парків")</t>
  </si>
  <si>
    <t>ЗАБЕЗПЕЧЕННЯ ФУНКЦІОНУВАННЯ ВОДОПРОВІДНО-КАНАЛІЗАЦІЙНОГО ГОСПОДАРСТВА</t>
  </si>
  <si>
    <t>6.1</t>
  </si>
  <si>
    <t>Фінансова підтримка КП "Черкасиводоканал" на погашення заборгованості по кредитних зобов'язаннях, гарантом яких виступає Черкаська міська рада (тіло кредиту)</t>
  </si>
  <si>
    <t>3.12</t>
  </si>
  <si>
    <t>Капітальний ремонт житлового будинку №43/1 по вул. Різдвяна (заміна вікон)</t>
  </si>
  <si>
    <t>Капітальний ремонт житлового будинку №6 по вул. Юрія Іллєнка (заміна вікон)</t>
  </si>
  <si>
    <t>Капітальний ремонт житлового будинку №103 по вул. Нижня Горова (інженерні мережі)</t>
  </si>
  <si>
    <t>Капітальний ремонт житлового будинку №105 по вул. Нижня Горова (інженерні мережі)</t>
  </si>
  <si>
    <t>Капітальний ремонт житлового будинку №164 по вул. Нижня Горова (інженерні мережі)</t>
  </si>
  <si>
    <t>Капітальний ремонт житлового будинку №168 по вул. Нижня Горова (інженерні мережі)</t>
  </si>
  <si>
    <t>Капітальний ремонт житлового будинку № 50 по вул. Толстого (інженерні мережі)</t>
  </si>
  <si>
    <t>Капітальний ремонт житлового будинку № 76 по вул. Толстого (інженерні мережі)</t>
  </si>
  <si>
    <t>Капітальний ремонт житлового будинку № 78 по вул. Толстого (інженерні мережі)</t>
  </si>
  <si>
    <t xml:space="preserve">в т.ч. водопостачання та водовідведення  </t>
  </si>
  <si>
    <t>1.40</t>
  </si>
  <si>
    <t>1.41</t>
  </si>
  <si>
    <t xml:space="preserve">Технічне (експертне) обстеження житлового будинку по узвозу Замковому,1 </t>
  </si>
  <si>
    <t>1.42</t>
  </si>
  <si>
    <t xml:space="preserve">утримання зелених насаджень та зелених зон; прибирання доріжок та алей; утримання та оновлення майна парків та скверів (фінансова підтримка КП "Дирекція парків")  </t>
  </si>
  <si>
    <t>послуги зі стерилізації безпритульних тварин , тимчасове утримання тварин в притулку (фінансова підтримка  КП "Черкаська служба чистоти")</t>
  </si>
  <si>
    <t>придбання та встановлення роздягалень (реалізація проектів -переможців визначених згідно Програми "Громадський бюджет міста  Черкаси на 2015-2020 роки ") (фінансова підтримка КП "Дирекція парків")</t>
  </si>
  <si>
    <t>Фінансова підтримка КП "Соснівська СУБ" на проведення поточного ремонту міжбудинкових пішохідних доріжок та прибудинкових територій житлових будинків (вул.Ярославська,22- 119838,00 грн., вул.С.Кішки ,183-93848,40 грн., вул.Чайковського ,44- 58243,20 грн., вул.Гагаріна,21-11796,00 грн.;вул.Г.Момота,5 - 126403,20 вул.Г.Момота ,7 -126402,00 грн., вул.Г.Момота ,9 -130305,60 грн).</t>
  </si>
  <si>
    <t>Капітальний ремонт житлового будинку по бульв. Шевченка ,132 (утеплення фасаду зі сторони бул.Шевченка з 1 по 4 під'їзд)</t>
  </si>
  <si>
    <t>нагляд за станом електромереж та устаткування (фінансова підтримка КП "Міськсвітло")</t>
  </si>
  <si>
    <t>Капітальеий ремонт  житлового будинку по вул. Благовісна, 180 (покрівля)</t>
  </si>
  <si>
    <r>
      <rPr>
        <i/>
        <sz val="12"/>
        <rFont val="Times New Roman"/>
        <family val="1"/>
      </rPr>
      <t xml:space="preserve">послуги  пульта управління  зовнішнім освітленням міста </t>
    </r>
    <r>
      <rPr>
        <sz val="12"/>
        <rFont val="Times New Roman"/>
        <family val="1"/>
      </rPr>
      <t xml:space="preserve"> (фінансова підтримка КП "Міськсвітло")</t>
    </r>
  </si>
  <si>
    <t>Капітальний ремонт прибудинкових територій (вул.Чорновола,235-16300,00 грн., вул. Н.Левицького,10- 42000,00 грн., вул.Н.Левицького,14 - 18900,00 грн.; вул.Н.Левицького ,14/1-209800,00 грн.)</t>
  </si>
  <si>
    <t>послуги аудиту (фінансова підтримка КП "Дирекція парків")</t>
  </si>
  <si>
    <t>Капітальний ремонт прибудинкової території житлового будинку №214 по вул.Благовісна</t>
  </si>
  <si>
    <t>Капітальний ремонт прибудинкової території житлового будинку №220 по вул.Благовісна</t>
  </si>
  <si>
    <t>Капітальний ремонт прибудинкової території житлового будинку №222 по вул.Благовісна</t>
  </si>
  <si>
    <t>Капітальний ремонт прибудинкової територій житлового будинку №341 по вул.Надпільна</t>
  </si>
  <si>
    <t xml:space="preserve">Капітальний ремонт прибудинкової територійжитлового будинку №43 по вул.Б.Хмельнцького </t>
  </si>
  <si>
    <t>Капітальний ремонт житлового будинку по вул.Різдвяна, 56 (ремонт покрівллі та перекриття 2-го поверху)</t>
  </si>
  <si>
    <t xml:space="preserve">Капітальний ремонт прибудинкової території житлового будинку №8/1 по вул. Нарбутівська </t>
  </si>
  <si>
    <t>Капітальний ремонт житлового будинку 7 по вул. Чорновола (система холодного та гарячого водопостачання та водовідведення)(з ПКД)</t>
  </si>
  <si>
    <t>Капітальний ремонт житлового будинку 9 по вул. Чорновола (система холодного та гарячого водопостачання та водовідведення)(з ПКД)</t>
  </si>
  <si>
    <t>1.43</t>
  </si>
  <si>
    <t>1.44</t>
  </si>
  <si>
    <t>Капітальний ремонт ганків під'їздів №1-8 житлового будинку по вул.Гуджіївській ,30</t>
  </si>
  <si>
    <t>Капітальний ремонт житлового будинку по вул. Різдвяній,54 (покрівля)(ПКД)</t>
  </si>
  <si>
    <t>придбання  контейнерів для збору ТПВ(фінансова підтримка КП "Черкаська служба чисстоти"</t>
  </si>
  <si>
    <t>ПІДТРИМКА ДІЯЛЬНОСТІ  РЕМОНТНО-БУДІВЕЛЬНИХ ОРГАНІЗАЦІЙ ЖИТЛОВО-КОМУНАЛЬНОГО ГОСПОДАРСТВА</t>
  </si>
  <si>
    <t>7.</t>
  </si>
  <si>
    <t>7.1</t>
  </si>
  <si>
    <t>Фінансова підтримка КП "ЧЕЛУАШ" на виконання рішень судів</t>
  </si>
  <si>
    <t>Профінансовано на 21.11.2017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</si>
</sst>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#,##0\ &quot;грн.&quot;;\-#,##0\ &quot;грн.&quot;"/>
    <numFmt numFmtId="194" formatCode="#,##0\ &quot;грн.&quot;;[Red]\-#,##0\ &quot;грн.&quot;"/>
    <numFmt numFmtId="195" formatCode="#,##0.00\ &quot;грн.&quot;;\-#,##0.00\ &quot;грн.&quot;"/>
    <numFmt numFmtId="196" formatCode="#,##0.00\ &quot;грн.&quot;;[Red]\-#,##0.00\ &quot;грн.&quot;"/>
    <numFmt numFmtId="197" formatCode="_-* #,##0\ &quot;грн.&quot;_-;\-* #,##0\ &quot;грн.&quot;_-;_-* &quot;-&quot;\ &quot;грн.&quot;_-;_-@_-"/>
    <numFmt numFmtId="198" formatCode="_-* #,##0\ _г_р_н_._-;\-* #,##0\ _г_р_н_._-;_-* &quot;-&quot;\ _г_р_н_._-;_-@_-"/>
    <numFmt numFmtId="199" formatCode="_-* #,##0.00\ &quot;грн.&quot;_-;\-* #,##0.00\ &quot;грн.&quot;_-;_-* &quot;-&quot;??\ &quot;грн.&quot;_-;_-@_-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#,##0.0000"/>
    <numFmt numFmtId="205" formatCode="#,##0.0\ _г_р_н_."/>
    <numFmt numFmtId="206" formatCode="[$-FC19]d\ mmmm\ yyyy\ &quot;г.&quot;"/>
    <numFmt numFmtId="207" formatCode="dd/mm/yy;@"/>
    <numFmt numFmtId="208" formatCode="mmm/yyyy"/>
    <numFmt numFmtId="209" formatCode="000000"/>
  </numFmts>
  <fonts count="6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i/>
      <sz val="10"/>
      <color indexed="8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4"/>
      <name val="Times New Roman"/>
      <family val="1"/>
    </font>
    <font>
      <i/>
      <sz val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i/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color indexed="10"/>
      <name val="Times New Roman"/>
      <family val="1"/>
    </font>
    <font>
      <sz val="12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b/>
      <sz val="8"/>
      <name val="Times New Roman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0" fillId="33" borderId="0" applyNumberFormat="0" applyBorder="0" applyAlignment="0" applyProtection="0"/>
    <xf numFmtId="0" fontId="21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0" fillId="42" borderId="0" applyNumberFormat="0" applyBorder="0" applyAlignment="0" applyProtection="0"/>
    <xf numFmtId="0" fontId="50" fillId="43" borderId="0" applyNumberFormat="0" applyBorder="0" applyAlignment="0" applyProtection="0"/>
    <xf numFmtId="0" fontId="7" fillId="7" borderId="1" applyNumberFormat="0" applyAlignment="0" applyProtection="0"/>
    <xf numFmtId="0" fontId="8" fillId="44" borderId="2" applyNumberFormat="0" applyAlignment="0" applyProtection="0"/>
    <xf numFmtId="0" fontId="15" fillId="44" borderId="1" applyNumberFormat="0" applyAlignment="0" applyProtection="0"/>
    <xf numFmtId="0" fontId="2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12" fillId="0" borderId="6" applyNumberFormat="0" applyFill="0" applyAlignment="0" applyProtection="0"/>
    <xf numFmtId="0" fontId="10" fillId="45" borderId="7" applyNumberFormat="0" applyAlignment="0" applyProtection="0"/>
    <xf numFmtId="0" fontId="16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54" fillId="47" borderId="8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49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6" fillId="3" borderId="0" applyNumberFormat="0" applyBorder="0" applyAlignment="0" applyProtection="0"/>
    <xf numFmtId="0" fontId="56" fillId="48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49" borderId="10" applyNumberFormat="0" applyFont="0" applyAlignment="0" applyProtection="0"/>
    <xf numFmtId="0" fontId="0" fillId="50" borderId="11" applyNumberFormat="0" applyFont="0" applyAlignment="0" applyProtection="0"/>
    <xf numFmtId="184" fontId="1" fillId="0" borderId="0" applyFont="0" applyFill="0" applyBorder="0" applyAlignment="0" applyProtection="0"/>
    <xf numFmtId="0" fontId="57" fillId="47" borderId="12" applyNumberFormat="0" applyAlignment="0" applyProtection="0"/>
    <xf numFmtId="0" fontId="18" fillId="0" borderId="13" applyNumberFormat="0" applyFill="0" applyAlignment="0" applyProtection="0"/>
    <xf numFmtId="0" fontId="58" fillId="51" borderId="0" applyNumberFormat="0" applyBorder="0" applyAlignment="0" applyProtection="0"/>
    <xf numFmtId="0" fontId="20" fillId="0" borderId="0">
      <alignment/>
      <protection/>
    </xf>
    <xf numFmtId="0" fontId="5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28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29" fillId="0" borderId="0" xfId="0" applyFont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wrapText="1"/>
    </xf>
    <xf numFmtId="0" fontId="35" fillId="0" borderId="14" xfId="0" applyFont="1" applyFill="1" applyBorder="1" applyAlignment="1">
      <alignment horizontal="center" wrapText="1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1" fontId="32" fillId="52" borderId="14" xfId="0" applyNumberFormat="1" applyFont="1" applyFill="1" applyBorder="1" applyAlignment="1">
      <alignment horizontal="center"/>
    </xf>
    <xf numFmtId="1" fontId="32" fillId="52" borderId="14" xfId="0" applyNumberFormat="1" applyFont="1" applyFill="1" applyBorder="1" applyAlignment="1">
      <alignment horizontal="center" vertical="center"/>
    </xf>
    <xf numFmtId="186" fontId="29" fillId="52" borderId="14" xfId="0" applyNumberFormat="1" applyFont="1" applyFill="1" applyBorder="1" applyAlignment="1">
      <alignment horizontal="center"/>
    </xf>
    <xf numFmtId="49" fontId="32" fillId="0" borderId="14" xfId="0" applyNumberFormat="1" applyFont="1" applyBorder="1" applyAlignment="1">
      <alignment horizontal="center"/>
    </xf>
    <xf numFmtId="49" fontId="32" fillId="49" borderId="14" xfId="0" applyNumberFormat="1" applyFont="1" applyFill="1" applyBorder="1" applyAlignment="1">
      <alignment horizontal="center" vertical="center"/>
    </xf>
    <xf numFmtId="49" fontId="33" fillId="0" borderId="14" xfId="0" applyNumberFormat="1" applyFont="1" applyBorder="1" applyAlignment="1">
      <alignment horizontal="center"/>
    </xf>
    <xf numFmtId="49" fontId="32" fillId="0" borderId="14" xfId="0" applyNumberFormat="1" applyFont="1" applyBorder="1" applyAlignment="1">
      <alignment horizontal="center" vertical="center"/>
    </xf>
    <xf numFmtId="186" fontId="30" fillId="53" borderId="14" xfId="0" applyNumberFormat="1" applyFont="1" applyFill="1" applyBorder="1" applyAlignment="1">
      <alignment horizontal="center"/>
    </xf>
    <xf numFmtId="2" fontId="28" fillId="53" borderId="14" xfId="0" applyNumberFormat="1" applyFont="1" applyFill="1" applyBorder="1" applyAlignment="1">
      <alignment horizontal="center"/>
    </xf>
    <xf numFmtId="0" fontId="37" fillId="0" borderId="14" xfId="0" applyFont="1" applyBorder="1" applyAlignment="1">
      <alignment/>
    </xf>
    <xf numFmtId="4" fontId="28" fillId="53" borderId="14" xfId="0" applyNumberFormat="1" applyFont="1" applyFill="1" applyBorder="1" applyAlignment="1">
      <alignment horizontal="center"/>
    </xf>
    <xf numFmtId="4" fontId="30" fillId="0" borderId="14" xfId="0" applyNumberFormat="1" applyFont="1" applyBorder="1" applyAlignment="1">
      <alignment horizontal="center" vertical="center"/>
    </xf>
    <xf numFmtId="49" fontId="32" fillId="35" borderId="14" xfId="0" applyNumberFormat="1" applyFont="1" applyFill="1" applyBorder="1" applyAlignment="1">
      <alignment horizontal="center" vertical="center"/>
    </xf>
    <xf numFmtId="0" fontId="0" fillId="53" borderId="0" xfId="0" applyFill="1" applyAlignment="1">
      <alignment/>
    </xf>
    <xf numFmtId="4" fontId="0" fillId="0" borderId="0" xfId="0" applyNumberFormat="1" applyAlignment="1">
      <alignment/>
    </xf>
    <xf numFmtId="49" fontId="32" fillId="53" borderId="14" xfId="0" applyNumberFormat="1" applyFont="1" applyFill="1" applyBorder="1" applyAlignment="1">
      <alignment horizontal="center" vertical="center"/>
    </xf>
    <xf numFmtId="49" fontId="32" fillId="52" borderId="14" xfId="0" applyNumberFormat="1" applyFont="1" applyFill="1" applyBorder="1" applyAlignment="1">
      <alignment horizontal="center"/>
    </xf>
    <xf numFmtId="49" fontId="32" fillId="52" borderId="14" xfId="0" applyNumberFormat="1" applyFont="1" applyFill="1" applyBorder="1" applyAlignment="1">
      <alignment horizontal="center" vertical="center"/>
    </xf>
    <xf numFmtId="49" fontId="33" fillId="0" borderId="14" xfId="0" applyNumberFormat="1" applyFont="1" applyBorder="1" applyAlignment="1">
      <alignment horizontal="center" vertical="center"/>
    </xf>
    <xf numFmtId="4" fontId="28" fillId="53" borderId="14" xfId="0" applyNumberFormat="1" applyFont="1" applyFill="1" applyBorder="1" applyAlignment="1">
      <alignment horizontal="center" vertical="center"/>
    </xf>
    <xf numFmtId="0" fontId="33" fillId="53" borderId="14" xfId="0" applyFont="1" applyFill="1" applyBorder="1" applyAlignment="1">
      <alignment/>
    </xf>
    <xf numFmtId="0" fontId="33" fillId="53" borderId="14" xfId="0" applyFont="1" applyFill="1" applyBorder="1" applyAlignment="1">
      <alignment horizontal="center" vertical="center"/>
    </xf>
    <xf numFmtId="0" fontId="0" fillId="17" borderId="0" xfId="0" applyFill="1" applyAlignment="1">
      <alignment/>
    </xf>
    <xf numFmtId="9" fontId="0" fillId="0" borderId="0" xfId="0" applyNumberFormat="1" applyAlignment="1">
      <alignment/>
    </xf>
    <xf numFmtId="0" fontId="0" fillId="53" borderId="0" xfId="0" applyFont="1" applyFill="1" applyAlignment="1">
      <alignment/>
    </xf>
    <xf numFmtId="0" fontId="30" fillId="0" borderId="14" xfId="111" applyFont="1" applyFill="1" applyBorder="1" applyAlignment="1">
      <alignment vertical="top" wrapText="1"/>
      <protection/>
    </xf>
    <xf numFmtId="0" fontId="19" fillId="0" borderId="14" xfId="0" applyFont="1" applyBorder="1" applyAlignment="1">
      <alignment horizontal="center" vertical="center" wrapText="1"/>
    </xf>
    <xf numFmtId="0" fontId="19" fillId="53" borderId="17" xfId="0" applyFont="1" applyFill="1" applyBorder="1" applyAlignment="1">
      <alignment horizontal="center" wrapText="1"/>
    </xf>
    <xf numFmtId="0" fontId="26" fillId="0" borderId="14" xfId="0" applyFont="1" applyBorder="1" applyAlignment="1">
      <alignment/>
    </xf>
    <xf numFmtId="0" fontId="29" fillId="0" borderId="18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35" fillId="0" borderId="14" xfId="0" applyFont="1" applyFill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/>
    </xf>
    <xf numFmtId="0" fontId="40" fillId="0" borderId="15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40" fillId="0" borderId="14" xfId="0" applyFont="1" applyFill="1" applyBorder="1" applyAlignment="1">
      <alignment horizontal="center"/>
    </xf>
    <xf numFmtId="0" fontId="40" fillId="53" borderId="17" xfId="0" applyFont="1" applyFill="1" applyBorder="1" applyAlignment="1">
      <alignment horizontal="center" wrapText="1"/>
    </xf>
    <xf numFmtId="0" fontId="28" fillId="0" borderId="14" xfId="0" applyFont="1" applyBorder="1" applyAlignment="1">
      <alignment/>
    </xf>
    <xf numFmtId="0" fontId="36" fillId="0" borderId="18" xfId="0" applyFont="1" applyBorder="1" applyAlignment="1">
      <alignment horizontal="center" vertical="center"/>
    </xf>
    <xf numFmtId="0" fontId="37" fillId="0" borderId="0" xfId="0" applyFont="1" applyAlignment="1">
      <alignment/>
    </xf>
    <xf numFmtId="4" fontId="29" fillId="0" borderId="18" xfId="0" applyNumberFormat="1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/>
    </xf>
    <xf numFmtId="49" fontId="31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4" fontId="30" fillId="0" borderId="18" xfId="0" applyNumberFormat="1" applyFont="1" applyBorder="1" applyAlignment="1">
      <alignment horizontal="center" vertical="center"/>
    </xf>
    <xf numFmtId="4" fontId="29" fillId="52" borderId="18" xfId="0" applyNumberFormat="1" applyFont="1" applyFill="1" applyBorder="1" applyAlignment="1">
      <alignment horizontal="center" vertical="center" wrapText="1"/>
    </xf>
    <xf numFmtId="0" fontId="32" fillId="52" borderId="18" xfId="0" applyFont="1" applyFill="1" applyBorder="1" applyAlignment="1">
      <alignment horizontal="center" vertical="center" wrapText="1"/>
    </xf>
    <xf numFmtId="0" fontId="19" fillId="52" borderId="14" xfId="0" applyFont="1" applyFill="1" applyBorder="1" applyAlignment="1">
      <alignment horizontal="center" vertical="center" wrapText="1"/>
    </xf>
    <xf numFmtId="0" fontId="32" fillId="52" borderId="18" xfId="0" applyFont="1" applyFill="1" applyBorder="1" applyAlignment="1">
      <alignment horizontal="left" vertical="center" wrapText="1"/>
    </xf>
    <xf numFmtId="0" fontId="34" fillId="52" borderId="14" xfId="0" applyFont="1" applyFill="1" applyBorder="1" applyAlignment="1">
      <alignment horizontal="center" wrapText="1"/>
    </xf>
    <xf numFmtId="0" fontId="35" fillId="52" borderId="14" xfId="0" applyFont="1" applyFill="1" applyBorder="1" applyAlignment="1">
      <alignment horizontal="center" wrapText="1"/>
    </xf>
    <xf numFmtId="0" fontId="34" fillId="52" borderId="14" xfId="0" applyFont="1" applyFill="1" applyBorder="1" applyAlignment="1">
      <alignment horizontal="center" vertical="center" wrapText="1"/>
    </xf>
    <xf numFmtId="0" fontId="19" fillId="52" borderId="14" xfId="0" applyFont="1" applyFill="1" applyBorder="1" applyAlignment="1">
      <alignment horizontal="center"/>
    </xf>
    <xf numFmtId="0" fontId="19" fillId="52" borderId="15" xfId="0" applyFont="1" applyFill="1" applyBorder="1" applyAlignment="1">
      <alignment horizontal="center"/>
    </xf>
    <xf numFmtId="0" fontId="19" fillId="52" borderId="16" xfId="0" applyFont="1" applyFill="1" applyBorder="1" applyAlignment="1">
      <alignment horizontal="center"/>
    </xf>
    <xf numFmtId="0" fontId="19" fillId="52" borderId="17" xfId="0" applyFont="1" applyFill="1" applyBorder="1" applyAlignment="1">
      <alignment horizontal="center" wrapText="1"/>
    </xf>
    <xf numFmtId="0" fontId="26" fillId="52" borderId="14" xfId="0" applyFont="1" applyFill="1" applyBorder="1" applyAlignment="1">
      <alignment/>
    </xf>
    <xf numFmtId="0" fontId="29" fillId="52" borderId="18" xfId="0" applyFont="1" applyFill="1" applyBorder="1" applyAlignment="1">
      <alignment horizontal="center" vertical="center"/>
    </xf>
    <xf numFmtId="4" fontId="29" fillId="52" borderId="18" xfId="0" applyNumberFormat="1" applyFont="1" applyFill="1" applyBorder="1" applyAlignment="1">
      <alignment horizontal="center" vertical="center"/>
    </xf>
    <xf numFmtId="49" fontId="33" fillId="0" borderId="14" xfId="0" applyNumberFormat="1" applyFont="1" applyFill="1" applyBorder="1" applyAlignment="1">
      <alignment horizontal="center"/>
    </xf>
    <xf numFmtId="49" fontId="33" fillId="0" borderId="14" xfId="0" applyNumberFormat="1" applyFont="1" applyFill="1" applyBorder="1" applyAlignment="1">
      <alignment horizontal="center" vertical="center"/>
    </xf>
    <xf numFmtId="4" fontId="4" fillId="0" borderId="0" xfId="0" applyNumberFormat="1" applyFont="1" applyAlignment="1">
      <alignment/>
    </xf>
    <xf numFmtId="49" fontId="33" fillId="53" borderId="14" xfId="0" applyNumberFormat="1" applyFont="1" applyFill="1" applyBorder="1" applyAlignment="1">
      <alignment horizontal="center"/>
    </xf>
    <xf numFmtId="4" fontId="29" fillId="53" borderId="18" xfId="0" applyNumberFormat="1" applyFont="1" applyFill="1" applyBorder="1" applyAlignment="1">
      <alignment horizontal="center" vertical="center" wrapText="1"/>
    </xf>
    <xf numFmtId="2" fontId="30" fillId="0" borderId="14" xfId="0" applyNumberFormat="1" applyFont="1" applyBorder="1" applyAlignment="1">
      <alignment horizontal="center"/>
    </xf>
    <xf numFmtId="49" fontId="35" fillId="35" borderId="14" xfId="0" applyNumberFormat="1" applyFont="1" applyFill="1" applyBorder="1" applyAlignment="1">
      <alignment horizontal="center" vertical="center" wrapText="1"/>
    </xf>
    <xf numFmtId="49" fontId="33" fillId="52" borderId="14" xfId="0" applyNumberFormat="1" applyFont="1" applyFill="1" applyBorder="1" applyAlignment="1">
      <alignment horizontal="center" vertical="center"/>
    </xf>
    <xf numFmtId="4" fontId="28" fillId="52" borderId="14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191" fontId="37" fillId="0" borderId="14" xfId="0" applyNumberFormat="1" applyFont="1" applyBorder="1" applyAlignment="1">
      <alignment vertical="center"/>
    </xf>
    <xf numFmtId="191" fontId="30" fillId="0" borderId="14" xfId="0" applyNumberFormat="1" applyFont="1" applyBorder="1" applyAlignment="1">
      <alignment vertical="center"/>
    </xf>
    <xf numFmtId="191" fontId="30" fillId="0" borderId="14" xfId="0" applyNumberFormat="1" applyFont="1" applyBorder="1" applyAlignment="1">
      <alignment horizontal="center" vertical="center"/>
    </xf>
    <xf numFmtId="0" fontId="30" fillId="0" borderId="0" xfId="0" applyFont="1" applyAlignment="1">
      <alignment/>
    </xf>
    <xf numFmtId="0" fontId="29" fillId="0" borderId="0" xfId="0" applyFont="1" applyAlignment="1">
      <alignment/>
    </xf>
    <xf numFmtId="4" fontId="29" fillId="0" borderId="0" xfId="0" applyNumberFormat="1" applyFont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Alignment="1">
      <alignment horizontal="right"/>
    </xf>
    <xf numFmtId="0" fontId="30" fillId="53" borderId="14" xfId="0" applyFont="1" applyFill="1" applyBorder="1" applyAlignment="1">
      <alignment vertical="top" wrapText="1"/>
    </xf>
    <xf numFmtId="0" fontId="35" fillId="53" borderId="14" xfId="0" applyFont="1" applyFill="1" applyBorder="1" applyAlignment="1">
      <alignment horizontal="center" wrapText="1"/>
    </xf>
    <xf numFmtId="0" fontId="35" fillId="53" borderId="14" xfId="0" applyFont="1" applyFill="1" applyBorder="1" applyAlignment="1">
      <alignment horizontal="center" vertical="center" wrapText="1"/>
    </xf>
    <xf numFmtId="0" fontId="40" fillId="53" borderId="14" xfId="0" applyFont="1" applyFill="1" applyBorder="1" applyAlignment="1">
      <alignment horizontal="center"/>
    </xf>
    <xf numFmtId="0" fontId="40" fillId="53" borderId="15" xfId="0" applyFont="1" applyFill="1" applyBorder="1" applyAlignment="1">
      <alignment horizontal="center"/>
    </xf>
    <xf numFmtId="0" fontId="40" fillId="53" borderId="16" xfId="0" applyFont="1" applyFill="1" applyBorder="1" applyAlignment="1">
      <alignment horizontal="center"/>
    </xf>
    <xf numFmtId="0" fontId="28" fillId="53" borderId="14" xfId="0" applyFont="1" applyFill="1" applyBorder="1" applyAlignment="1">
      <alignment/>
    </xf>
    <xf numFmtId="0" fontId="30" fillId="53" borderId="20" xfId="0" applyFont="1" applyFill="1" applyBorder="1" applyAlignment="1">
      <alignment vertical="top" wrapText="1"/>
    </xf>
    <xf numFmtId="49" fontId="30" fillId="53" borderId="17" xfId="0" applyNumberFormat="1" applyFont="1" applyFill="1" applyBorder="1" applyAlignment="1">
      <alignment vertical="top" wrapText="1"/>
    </xf>
    <xf numFmtId="0" fontId="30" fillId="53" borderId="14" xfId="111" applyFont="1" applyFill="1" applyBorder="1" applyAlignment="1">
      <alignment vertical="top" wrapText="1"/>
      <protection/>
    </xf>
    <xf numFmtId="0" fontId="34" fillId="52" borderId="14" xfId="0" applyFont="1" applyFill="1" applyBorder="1" applyAlignment="1">
      <alignment horizontal="left" vertical="center" wrapText="1"/>
    </xf>
    <xf numFmtId="191" fontId="34" fillId="52" borderId="14" xfId="0" applyNumberFormat="1" applyFont="1" applyFill="1" applyBorder="1" applyAlignment="1">
      <alignment horizontal="center" vertical="center" wrapText="1"/>
    </xf>
    <xf numFmtId="4" fontId="34" fillId="52" borderId="14" xfId="0" applyNumberFormat="1" applyFont="1" applyFill="1" applyBorder="1" applyAlignment="1">
      <alignment horizontal="center" vertical="center" wrapText="1"/>
    </xf>
    <xf numFmtId="192" fontId="34" fillId="52" borderId="14" xfId="0" applyNumberFormat="1" applyFont="1" applyFill="1" applyBorder="1" applyAlignment="1">
      <alignment horizontal="center" vertical="center" wrapText="1"/>
    </xf>
    <xf numFmtId="186" fontId="19" fillId="52" borderId="14" xfId="0" applyNumberFormat="1" applyFont="1" applyFill="1" applyBorder="1" applyAlignment="1">
      <alignment horizontal="center"/>
    </xf>
    <xf numFmtId="2" fontId="19" fillId="52" borderId="14" xfId="0" applyNumberFormat="1" applyFont="1" applyFill="1" applyBorder="1" applyAlignment="1">
      <alignment horizontal="center" wrapText="1"/>
    </xf>
    <xf numFmtId="4" fontId="19" fillId="52" borderId="18" xfId="0" applyNumberFormat="1" applyFont="1" applyFill="1" applyBorder="1" applyAlignment="1">
      <alignment horizontal="center" vertical="center" wrapText="1"/>
    </xf>
    <xf numFmtId="0" fontId="31" fillId="53" borderId="14" xfId="0" applyFont="1" applyFill="1" applyBorder="1" applyAlignment="1">
      <alignment horizontal="left" wrapText="1"/>
    </xf>
    <xf numFmtId="185" fontId="31" fillId="4" borderId="14" xfId="0" applyNumberFormat="1" applyFont="1" applyFill="1" applyBorder="1" applyAlignment="1">
      <alignment horizontal="center" vertical="center" wrapText="1"/>
    </xf>
    <xf numFmtId="191" fontId="31" fillId="4" borderId="14" xfId="0" applyNumberFormat="1" applyFont="1" applyFill="1" applyBorder="1" applyAlignment="1">
      <alignment horizontal="center" vertical="center" wrapText="1"/>
    </xf>
    <xf numFmtId="4" fontId="31" fillId="4" borderId="14" xfId="0" applyNumberFormat="1" applyFont="1" applyFill="1" applyBorder="1" applyAlignment="1">
      <alignment horizontal="center" vertical="center" wrapText="1"/>
    </xf>
    <xf numFmtId="186" fontId="26" fillId="4" borderId="14" xfId="0" applyNumberFormat="1" applyFont="1" applyFill="1" applyBorder="1" applyAlignment="1">
      <alignment horizontal="center"/>
    </xf>
    <xf numFmtId="2" fontId="26" fillId="4" borderId="14" xfId="0" applyNumberFormat="1" applyFont="1" applyFill="1" applyBorder="1" applyAlignment="1">
      <alignment horizontal="center" wrapText="1"/>
    </xf>
    <xf numFmtId="0" fontId="26" fillId="4" borderId="14" xfId="0" applyFont="1" applyFill="1" applyBorder="1" applyAlignment="1">
      <alignment/>
    </xf>
    <xf numFmtId="4" fontId="19" fillId="53" borderId="18" xfId="0" applyNumberFormat="1" applyFont="1" applyFill="1" applyBorder="1" applyAlignment="1">
      <alignment horizontal="center" vertical="center" wrapText="1"/>
    </xf>
    <xf numFmtId="4" fontId="31" fillId="53" borderId="14" xfId="0" applyNumberFormat="1" applyFont="1" applyFill="1" applyBorder="1" applyAlignment="1">
      <alignment horizontal="center" vertical="center" wrapText="1"/>
    </xf>
    <xf numFmtId="0" fontId="26" fillId="53" borderId="14" xfId="0" applyFont="1" applyFill="1" applyBorder="1" applyAlignment="1">
      <alignment/>
    </xf>
    <xf numFmtId="186" fontId="19" fillId="53" borderId="14" xfId="0" applyNumberFormat="1" applyFont="1" applyFill="1" applyBorder="1" applyAlignment="1">
      <alignment horizontal="center"/>
    </xf>
    <xf numFmtId="0" fontId="41" fillId="0" borderId="14" xfId="0" applyFont="1" applyFill="1" applyBorder="1" applyAlignment="1">
      <alignment horizontal="left" wrapText="1"/>
    </xf>
    <xf numFmtId="185" fontId="31" fillId="0" borderId="14" xfId="0" applyNumberFormat="1" applyFont="1" applyBorder="1" applyAlignment="1">
      <alignment horizontal="center" vertical="center" wrapText="1"/>
    </xf>
    <xf numFmtId="185" fontId="31" fillId="0" borderId="14" xfId="0" applyNumberFormat="1" applyFont="1" applyFill="1" applyBorder="1" applyAlignment="1">
      <alignment horizontal="center" vertical="center" wrapText="1"/>
    </xf>
    <xf numFmtId="185" fontId="41" fillId="0" borderId="14" xfId="0" applyNumberFormat="1" applyFont="1" applyFill="1" applyBorder="1" applyAlignment="1">
      <alignment horizontal="center" vertical="center" wrapText="1"/>
    </xf>
    <xf numFmtId="192" fontId="41" fillId="0" borderId="14" xfId="0" applyNumberFormat="1" applyFont="1" applyFill="1" applyBorder="1" applyAlignment="1">
      <alignment horizontal="center" vertical="center" wrapText="1"/>
    </xf>
    <xf numFmtId="4" fontId="41" fillId="0" borderId="14" xfId="0" applyNumberFormat="1" applyFont="1" applyFill="1" applyBorder="1" applyAlignment="1">
      <alignment horizontal="center" vertical="center" wrapText="1"/>
    </xf>
    <xf numFmtId="191" fontId="41" fillId="53" borderId="14" xfId="0" applyNumberFormat="1" applyFont="1" applyFill="1" applyBorder="1" applyAlignment="1">
      <alignment horizontal="left" vertical="center" wrapText="1"/>
    </xf>
    <xf numFmtId="191" fontId="34" fillId="53" borderId="14" xfId="0" applyNumberFormat="1" applyFont="1" applyFill="1" applyBorder="1" applyAlignment="1">
      <alignment horizontal="center" vertical="center" wrapText="1"/>
    </xf>
    <xf numFmtId="186" fontId="28" fillId="0" borderId="14" xfId="0" applyNumberFormat="1" applyFont="1" applyBorder="1" applyAlignment="1">
      <alignment horizontal="center"/>
    </xf>
    <xf numFmtId="4" fontId="28" fillId="0" borderId="14" xfId="0" applyNumberFormat="1" applyFont="1" applyBorder="1" applyAlignment="1">
      <alignment horizontal="center" vertical="center"/>
    </xf>
    <xf numFmtId="191" fontId="35" fillId="53" borderId="14" xfId="0" applyNumberFormat="1" applyFont="1" applyFill="1" applyBorder="1" applyAlignment="1">
      <alignment horizontal="center" vertical="center" wrapText="1"/>
    </xf>
    <xf numFmtId="2" fontId="40" fillId="53" borderId="14" xfId="0" applyNumberFormat="1" applyFont="1" applyFill="1" applyBorder="1" applyAlignment="1">
      <alignment horizontal="center" wrapText="1"/>
    </xf>
    <xf numFmtId="4" fontId="19" fillId="0" borderId="18" xfId="0" applyNumberFormat="1" applyFont="1" applyBorder="1" applyAlignment="1">
      <alignment horizontal="center" vertical="center" wrapText="1"/>
    </xf>
    <xf numFmtId="191" fontId="26" fillId="0" borderId="14" xfId="0" applyNumberFormat="1" applyFont="1" applyBorder="1" applyAlignment="1">
      <alignment horizontal="center"/>
    </xf>
    <xf numFmtId="186" fontId="26" fillId="53" borderId="14" xfId="0" applyNumberFormat="1" applyFont="1" applyFill="1" applyBorder="1" applyAlignment="1">
      <alignment horizontal="center"/>
    </xf>
    <xf numFmtId="0" fontId="28" fillId="0" borderId="14" xfId="0" applyFont="1" applyBorder="1" applyAlignment="1">
      <alignment wrapText="1"/>
    </xf>
    <xf numFmtId="4" fontId="28" fillId="0" borderId="14" xfId="0" applyNumberFormat="1" applyFont="1" applyBorder="1" applyAlignment="1">
      <alignment horizontal="center" vertical="center" wrapText="1"/>
    </xf>
    <xf numFmtId="191" fontId="26" fillId="53" borderId="14" xfId="0" applyNumberFormat="1" applyFont="1" applyFill="1" applyBorder="1" applyAlignment="1">
      <alignment horizontal="center"/>
    </xf>
    <xf numFmtId="0" fontId="41" fillId="53" borderId="14" xfId="0" applyFont="1" applyFill="1" applyBorder="1" applyAlignment="1">
      <alignment horizontal="left" wrapText="1"/>
    </xf>
    <xf numFmtId="185" fontId="31" fillId="53" borderId="14" xfId="0" applyNumberFormat="1" applyFont="1" applyFill="1" applyBorder="1" applyAlignment="1">
      <alignment horizontal="center" vertical="center" wrapText="1"/>
    </xf>
    <xf numFmtId="185" fontId="41" fillId="53" borderId="14" xfId="0" applyNumberFormat="1" applyFont="1" applyFill="1" applyBorder="1" applyAlignment="1">
      <alignment horizontal="center" vertical="center" wrapText="1"/>
    </xf>
    <xf numFmtId="4" fontId="41" fillId="53" borderId="14" xfId="0" applyNumberFormat="1" applyFont="1" applyFill="1" applyBorder="1" applyAlignment="1">
      <alignment horizontal="center" vertical="center" wrapText="1"/>
    </xf>
    <xf numFmtId="2" fontId="40" fillId="54" borderId="14" xfId="0" applyNumberFormat="1" applyFont="1" applyFill="1" applyBorder="1" applyAlignment="1">
      <alignment horizontal="center" wrapText="1"/>
    </xf>
    <xf numFmtId="0" fontId="26" fillId="53" borderId="14" xfId="113" applyFont="1" applyFill="1" applyBorder="1" applyAlignment="1">
      <alignment horizontal="left" wrapText="1"/>
      <protection/>
    </xf>
    <xf numFmtId="192" fontId="41" fillId="53" borderId="14" xfId="0" applyNumberFormat="1" applyFont="1" applyFill="1" applyBorder="1" applyAlignment="1">
      <alignment horizontal="center" vertical="center" wrapText="1"/>
    </xf>
    <xf numFmtId="186" fontId="28" fillId="53" borderId="14" xfId="0" applyNumberFormat="1" applyFont="1" applyFill="1" applyBorder="1" applyAlignment="1">
      <alignment horizontal="center" vertical="center"/>
    </xf>
    <xf numFmtId="0" fontId="28" fillId="53" borderId="14" xfId="113" applyFont="1" applyFill="1" applyBorder="1" applyAlignment="1">
      <alignment horizontal="left" wrapText="1"/>
      <protection/>
    </xf>
    <xf numFmtId="192" fontId="31" fillId="53" borderId="14" xfId="0" applyNumberFormat="1" applyFont="1" applyFill="1" applyBorder="1" applyAlignment="1">
      <alignment horizontal="center" vertical="center" wrapText="1"/>
    </xf>
    <xf numFmtId="191" fontId="41" fillId="53" borderId="14" xfId="0" applyNumberFormat="1" applyFont="1" applyFill="1" applyBorder="1" applyAlignment="1">
      <alignment horizontal="center" vertical="center" wrapText="1"/>
    </xf>
    <xf numFmtId="186" fontId="28" fillId="53" borderId="14" xfId="0" applyNumberFormat="1" applyFont="1" applyFill="1" applyBorder="1" applyAlignment="1">
      <alignment horizontal="center"/>
    </xf>
    <xf numFmtId="191" fontId="31" fillId="53" borderId="14" xfId="0" applyNumberFormat="1" applyFont="1" applyFill="1" applyBorder="1" applyAlignment="1">
      <alignment horizontal="center" vertical="center" wrapText="1"/>
    </xf>
    <xf numFmtId="2" fontId="26" fillId="53" borderId="14" xfId="0" applyNumberFormat="1" applyFont="1" applyFill="1" applyBorder="1" applyAlignment="1">
      <alignment horizontal="center" wrapText="1"/>
    </xf>
    <xf numFmtId="4" fontId="26" fillId="53" borderId="14" xfId="0" applyNumberFormat="1" applyFont="1" applyFill="1" applyBorder="1" applyAlignment="1">
      <alignment horizontal="center" vertical="center"/>
    </xf>
    <xf numFmtId="0" fontId="28" fillId="53" borderId="14" xfId="0" applyFont="1" applyFill="1" applyBorder="1" applyAlignment="1">
      <alignment horizontal="left" wrapText="1"/>
    </xf>
    <xf numFmtId="190" fontId="41" fillId="53" borderId="14" xfId="0" applyNumberFormat="1" applyFont="1" applyFill="1" applyBorder="1" applyAlignment="1">
      <alignment horizontal="center" vertical="center" wrapText="1"/>
    </xf>
    <xf numFmtId="2" fontId="28" fillId="53" borderId="14" xfId="0" applyNumberFormat="1" applyFont="1" applyFill="1" applyBorder="1" applyAlignment="1">
      <alignment horizontal="left"/>
    </xf>
    <xf numFmtId="0" fontId="42" fillId="53" borderId="14" xfId="0" applyFont="1" applyFill="1" applyBorder="1" applyAlignment="1">
      <alignment horizontal="left" wrapText="1"/>
    </xf>
    <xf numFmtId="4" fontId="28" fillId="0" borderId="18" xfId="0" applyNumberFormat="1" applyFont="1" applyBorder="1" applyAlignment="1">
      <alignment horizontal="center" vertical="center" wrapText="1"/>
    </xf>
    <xf numFmtId="186" fontId="26" fillId="0" borderId="14" xfId="0" applyNumberFormat="1" applyFont="1" applyBorder="1" applyAlignment="1">
      <alignment horizontal="center"/>
    </xf>
    <xf numFmtId="192" fontId="31" fillId="4" borderId="14" xfId="0" applyNumberFormat="1" applyFont="1" applyFill="1" applyBorder="1" applyAlignment="1">
      <alignment horizontal="center" vertical="center" wrapText="1"/>
    </xf>
    <xf numFmtId="2" fontId="19" fillId="53" borderId="14" xfId="0" applyNumberFormat="1" applyFont="1" applyFill="1" applyBorder="1" applyAlignment="1">
      <alignment horizontal="center" wrapText="1"/>
    </xf>
    <xf numFmtId="191" fontId="26" fillId="53" borderId="14" xfId="0" applyNumberFormat="1" applyFont="1" applyFill="1" applyBorder="1" applyAlignment="1">
      <alignment horizontal="center" vertical="center"/>
    </xf>
    <xf numFmtId="190" fontId="31" fillId="53" borderId="14" xfId="0" applyNumberFormat="1" applyFont="1" applyFill="1" applyBorder="1" applyAlignment="1">
      <alignment horizontal="center" vertical="center" wrapText="1"/>
    </xf>
    <xf numFmtId="191" fontId="31" fillId="53" borderId="14" xfId="0" applyNumberFormat="1" applyFont="1" applyFill="1" applyBorder="1" applyAlignment="1">
      <alignment horizontal="left" vertical="center" wrapText="1"/>
    </xf>
    <xf numFmtId="186" fontId="26" fillId="53" borderId="14" xfId="0" applyNumberFormat="1" applyFont="1" applyFill="1" applyBorder="1" applyAlignment="1">
      <alignment horizontal="center" vertical="center"/>
    </xf>
    <xf numFmtId="2" fontId="28" fillId="53" borderId="14" xfId="0" applyNumberFormat="1" applyFont="1" applyFill="1" applyBorder="1" applyAlignment="1">
      <alignment horizontal="center" wrapText="1"/>
    </xf>
    <xf numFmtId="4" fontId="34" fillId="53" borderId="14" xfId="0" applyNumberFormat="1" applyFont="1" applyFill="1" applyBorder="1" applyAlignment="1">
      <alignment horizontal="center" vertical="center" wrapText="1"/>
    </xf>
    <xf numFmtId="192" fontId="34" fillId="53" borderId="14" xfId="0" applyNumberFormat="1" applyFont="1" applyFill="1" applyBorder="1" applyAlignment="1">
      <alignment horizontal="center" vertical="center" wrapText="1"/>
    </xf>
    <xf numFmtId="4" fontId="28" fillId="53" borderId="18" xfId="0" applyNumberFormat="1" applyFont="1" applyFill="1" applyBorder="1" applyAlignment="1">
      <alignment horizontal="center" vertical="center" wrapText="1"/>
    </xf>
    <xf numFmtId="191" fontId="28" fillId="53" borderId="14" xfId="0" applyNumberFormat="1" applyFont="1" applyFill="1" applyBorder="1" applyAlignment="1">
      <alignment horizontal="center"/>
    </xf>
    <xf numFmtId="0" fontId="34" fillId="53" borderId="14" xfId="0" applyFont="1" applyFill="1" applyBorder="1" applyAlignment="1">
      <alignment horizontal="left" wrapText="1"/>
    </xf>
    <xf numFmtId="185" fontId="34" fillId="53" borderId="14" xfId="0" applyNumberFormat="1" applyFont="1" applyFill="1" applyBorder="1" applyAlignment="1">
      <alignment horizontal="center" vertical="center" wrapText="1"/>
    </xf>
    <xf numFmtId="185" fontId="19" fillId="53" borderId="14" xfId="0" applyNumberFormat="1" applyFont="1" applyFill="1" applyBorder="1" applyAlignment="1">
      <alignment horizontal="center" vertical="center" wrapText="1"/>
    </xf>
    <xf numFmtId="0" fontId="41" fillId="53" borderId="14" xfId="0" applyFont="1" applyFill="1" applyBorder="1" applyAlignment="1">
      <alignment horizontal="left" vertical="center" wrapText="1"/>
    </xf>
    <xf numFmtId="185" fontId="26" fillId="53" borderId="14" xfId="0" applyNumberFormat="1" applyFont="1" applyFill="1" applyBorder="1" applyAlignment="1">
      <alignment horizontal="center" vertical="center" wrapText="1"/>
    </xf>
    <xf numFmtId="0" fontId="31" fillId="53" borderId="14" xfId="0" applyFont="1" applyFill="1" applyBorder="1" applyAlignment="1">
      <alignment horizontal="center" vertical="center" wrapText="1"/>
    </xf>
    <xf numFmtId="4" fontId="28" fillId="53" borderId="14" xfId="0" applyNumberFormat="1" applyFont="1" applyFill="1" applyBorder="1" applyAlignment="1">
      <alignment horizontal="center" vertical="center" wrapText="1"/>
    </xf>
    <xf numFmtId="0" fontId="41" fillId="53" borderId="14" xfId="0" applyNumberFormat="1" applyFont="1" applyFill="1" applyBorder="1" applyAlignment="1">
      <alignment horizontal="left" vertical="center" wrapText="1"/>
    </xf>
    <xf numFmtId="0" fontId="31" fillId="53" borderId="14" xfId="0" applyFont="1" applyFill="1" applyBorder="1" applyAlignment="1">
      <alignment horizontal="left" vertical="center" wrapText="1"/>
    </xf>
    <xf numFmtId="0" fontId="43" fillId="53" borderId="14" xfId="0" applyFont="1" applyFill="1" applyBorder="1" applyAlignment="1">
      <alignment/>
    </xf>
    <xf numFmtId="191" fontId="31" fillId="53" borderId="14" xfId="0" applyNumberFormat="1" applyFont="1" applyFill="1" applyBorder="1" applyAlignment="1">
      <alignment horizontal="center" vertical="center"/>
    </xf>
    <xf numFmtId="191" fontId="41" fillId="53" borderId="14" xfId="0" applyNumberFormat="1" applyFont="1" applyFill="1" applyBorder="1" applyAlignment="1">
      <alignment horizontal="center" vertical="center"/>
    </xf>
    <xf numFmtId="4" fontId="31" fillId="53" borderId="14" xfId="0" applyNumberFormat="1" applyFont="1" applyFill="1" applyBorder="1" applyAlignment="1">
      <alignment horizontal="center" vertical="center"/>
    </xf>
    <xf numFmtId="4" fontId="26" fillId="53" borderId="14" xfId="0" applyNumberFormat="1" applyFont="1" applyFill="1" applyBorder="1" applyAlignment="1">
      <alignment horizontal="center" vertical="center" wrapText="1"/>
    </xf>
    <xf numFmtId="191" fontId="41" fillId="53" borderId="14" xfId="0" applyNumberFormat="1" applyFont="1" applyFill="1" applyBorder="1" applyAlignment="1">
      <alignment horizontal="center"/>
    </xf>
    <xf numFmtId="191" fontId="41" fillId="53" borderId="14" xfId="0" applyNumberFormat="1" applyFont="1" applyFill="1" applyBorder="1" applyAlignment="1">
      <alignment horizontal="left"/>
    </xf>
    <xf numFmtId="2" fontId="19" fillId="53" borderId="14" xfId="0" applyNumberFormat="1" applyFont="1" applyFill="1" applyBorder="1" applyAlignment="1">
      <alignment horizontal="center"/>
    </xf>
    <xf numFmtId="192" fontId="26" fillId="53" borderId="14" xfId="0" applyNumberFormat="1" applyFont="1" applyFill="1" applyBorder="1" applyAlignment="1">
      <alignment horizontal="center"/>
    </xf>
    <xf numFmtId="4" fontId="26" fillId="53" borderId="18" xfId="0" applyNumberFormat="1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wrapText="1"/>
    </xf>
    <xf numFmtId="4" fontId="31" fillId="0" borderId="14" xfId="0" applyNumberFormat="1" applyFont="1" applyFill="1" applyBorder="1" applyAlignment="1">
      <alignment horizontal="center" vertical="center" wrapText="1"/>
    </xf>
    <xf numFmtId="192" fontId="31" fillId="0" borderId="14" xfId="0" applyNumberFormat="1" applyFont="1" applyFill="1" applyBorder="1" applyAlignment="1">
      <alignment horizontal="center" vertical="center" wrapText="1"/>
    </xf>
    <xf numFmtId="191" fontId="31" fillId="0" borderId="14" xfId="0" applyNumberFormat="1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/>
    </xf>
    <xf numFmtId="186" fontId="26" fillId="0" borderId="14" xfId="0" applyNumberFormat="1" applyFont="1" applyFill="1" applyBorder="1" applyAlignment="1">
      <alignment horizontal="center"/>
    </xf>
    <xf numFmtId="4" fontId="26" fillId="0" borderId="14" xfId="0" applyNumberFormat="1" applyFont="1" applyFill="1" applyBorder="1" applyAlignment="1">
      <alignment horizontal="center" vertical="center"/>
    </xf>
    <xf numFmtId="2" fontId="26" fillId="0" borderId="14" xfId="0" applyNumberFormat="1" applyFont="1" applyFill="1" applyBorder="1" applyAlignment="1">
      <alignment horizontal="center" wrapText="1"/>
    </xf>
    <xf numFmtId="4" fontId="19" fillId="0" borderId="14" xfId="0" applyNumberFormat="1" applyFont="1" applyFill="1" applyBorder="1" applyAlignment="1">
      <alignment horizontal="center" vertical="center" wrapText="1"/>
    </xf>
    <xf numFmtId="191" fontId="34" fillId="7" borderId="14" xfId="0" applyNumberFormat="1" applyFont="1" applyFill="1" applyBorder="1" applyAlignment="1">
      <alignment horizontal="center" vertical="center" wrapText="1"/>
    </xf>
    <xf numFmtId="0" fontId="34" fillId="7" borderId="14" xfId="0" applyFont="1" applyFill="1" applyBorder="1" applyAlignment="1">
      <alignment horizontal="center" vertical="center" wrapText="1"/>
    </xf>
    <xf numFmtId="192" fontId="34" fillId="7" borderId="14" xfId="0" applyNumberFormat="1" applyFont="1" applyFill="1" applyBorder="1" applyAlignment="1">
      <alignment horizontal="center" vertical="center" wrapText="1"/>
    </xf>
    <xf numFmtId="4" fontId="19" fillId="52" borderId="14" xfId="0" applyNumberFormat="1" applyFont="1" applyFill="1" applyBorder="1" applyAlignment="1">
      <alignment horizontal="center" vertical="center"/>
    </xf>
    <xf numFmtId="2" fontId="19" fillId="52" borderId="14" xfId="0" applyNumberFormat="1" applyFont="1" applyFill="1" applyBorder="1" applyAlignment="1">
      <alignment horizontal="center"/>
    </xf>
    <xf numFmtId="0" fontId="34" fillId="46" borderId="14" xfId="0" applyFont="1" applyFill="1" applyBorder="1" applyAlignment="1">
      <alignment horizontal="center" vertical="center" wrapText="1"/>
    </xf>
    <xf numFmtId="2" fontId="34" fillId="53" borderId="14" xfId="0" applyNumberFormat="1" applyFont="1" applyFill="1" applyBorder="1" applyAlignment="1">
      <alignment horizontal="center" vertical="center" wrapText="1"/>
    </xf>
    <xf numFmtId="192" fontId="34" fillId="0" borderId="14" xfId="0" applyNumberFormat="1" applyFont="1" applyFill="1" applyBorder="1" applyAlignment="1">
      <alignment horizontal="center" vertical="center" wrapText="1"/>
    </xf>
    <xf numFmtId="4" fontId="34" fillId="0" borderId="14" xfId="0" applyNumberFormat="1" applyFont="1" applyFill="1" applyBorder="1" applyAlignment="1">
      <alignment horizontal="center" vertical="center" wrapText="1"/>
    </xf>
    <xf numFmtId="4" fontId="19" fillId="0" borderId="14" xfId="0" applyNumberFormat="1" applyFont="1" applyBorder="1" applyAlignment="1">
      <alignment horizontal="center" vertical="center"/>
    </xf>
    <xf numFmtId="2" fontId="28" fillId="0" borderId="14" xfId="0" applyNumberFormat="1" applyFont="1" applyBorder="1" applyAlignment="1">
      <alignment horizontal="center"/>
    </xf>
    <xf numFmtId="0" fontId="34" fillId="52" borderId="14" xfId="0" applyFont="1" applyFill="1" applyBorder="1" applyAlignment="1">
      <alignment horizontal="left" wrapText="1"/>
    </xf>
    <xf numFmtId="185" fontId="34" fillId="52" borderId="14" xfId="0" applyNumberFormat="1" applyFont="1" applyFill="1" applyBorder="1" applyAlignment="1">
      <alignment horizontal="center" vertical="center" wrapText="1"/>
    </xf>
    <xf numFmtId="4" fontId="41" fillId="52" borderId="14" xfId="0" applyNumberFormat="1" applyFont="1" applyFill="1" applyBorder="1" applyAlignment="1">
      <alignment horizontal="center" vertical="center" wrapText="1"/>
    </xf>
    <xf numFmtId="0" fontId="26" fillId="52" borderId="14" xfId="0" applyFont="1" applyFill="1" applyBorder="1" applyAlignment="1">
      <alignment/>
    </xf>
    <xf numFmtId="190" fontId="34" fillId="53" borderId="14" xfId="0" applyNumberFormat="1" applyFont="1" applyFill="1" applyBorder="1" applyAlignment="1">
      <alignment horizontal="center" vertical="center" wrapText="1"/>
    </xf>
    <xf numFmtId="186" fontId="19" fillId="0" borderId="14" xfId="0" applyNumberFormat="1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28" fillId="0" borderId="0" xfId="0" applyFont="1" applyAlignment="1">
      <alignment wrapText="1"/>
    </xf>
    <xf numFmtId="0" fontId="26" fillId="0" borderId="0" xfId="0" applyFont="1" applyAlignment="1">
      <alignment/>
    </xf>
    <xf numFmtId="0" fontId="26" fillId="0" borderId="18" xfId="0" applyFont="1" applyBorder="1" applyAlignment="1">
      <alignment/>
    </xf>
    <xf numFmtId="0" fontId="28" fillId="0" borderId="18" xfId="0" applyFont="1" applyBorder="1" applyAlignment="1">
      <alignment horizontal="center"/>
    </xf>
    <xf numFmtId="186" fontId="40" fillId="0" borderId="18" xfId="0" applyNumberFormat="1" applyFont="1" applyBorder="1" applyAlignment="1">
      <alignment horizontal="center"/>
    </xf>
    <xf numFmtId="185" fontId="31" fillId="52" borderId="14" xfId="0" applyNumberFormat="1" applyFont="1" applyFill="1" applyBorder="1" applyAlignment="1">
      <alignment horizontal="center" vertical="center" wrapText="1"/>
    </xf>
    <xf numFmtId="191" fontId="41" fillId="52" borderId="14" xfId="0" applyNumberFormat="1" applyFont="1" applyFill="1" applyBorder="1" applyAlignment="1">
      <alignment horizontal="center" vertical="center" wrapText="1"/>
    </xf>
    <xf numFmtId="190" fontId="31" fillId="52" borderId="14" xfId="0" applyNumberFormat="1" applyFont="1" applyFill="1" applyBorder="1" applyAlignment="1">
      <alignment horizontal="center" vertical="center" wrapText="1"/>
    </xf>
    <xf numFmtId="192" fontId="41" fillId="52" borderId="14" xfId="0" applyNumberFormat="1" applyFont="1" applyFill="1" applyBorder="1" applyAlignment="1">
      <alignment horizontal="center" vertical="center" wrapText="1"/>
    </xf>
    <xf numFmtId="191" fontId="41" fillId="52" borderId="14" xfId="0" applyNumberFormat="1" applyFont="1" applyFill="1" applyBorder="1" applyAlignment="1">
      <alignment horizontal="left" vertical="center" wrapText="1"/>
    </xf>
    <xf numFmtId="0" fontId="28" fillId="52" borderId="14" xfId="0" applyFont="1" applyFill="1" applyBorder="1" applyAlignment="1">
      <alignment/>
    </xf>
    <xf numFmtId="191" fontId="35" fillId="52" borderId="14" xfId="0" applyNumberFormat="1" applyFont="1" applyFill="1" applyBorder="1" applyAlignment="1">
      <alignment horizontal="center" vertical="center" wrapText="1"/>
    </xf>
    <xf numFmtId="186" fontId="28" fillId="52" borderId="14" xfId="0" applyNumberFormat="1" applyFont="1" applyFill="1" applyBorder="1" applyAlignment="1">
      <alignment horizontal="center" vertical="center"/>
    </xf>
    <xf numFmtId="2" fontId="40" fillId="52" borderId="14" xfId="0" applyNumberFormat="1" applyFont="1" applyFill="1" applyBorder="1" applyAlignment="1">
      <alignment horizontal="center" wrapText="1"/>
    </xf>
    <xf numFmtId="2" fontId="19" fillId="52" borderId="18" xfId="0" applyNumberFormat="1" applyFont="1" applyFill="1" applyBorder="1" applyAlignment="1">
      <alignment horizontal="center"/>
    </xf>
    <xf numFmtId="2" fontId="28" fillId="0" borderId="18" xfId="0" applyNumberFormat="1" applyFont="1" applyBorder="1" applyAlignment="1">
      <alignment horizontal="center"/>
    </xf>
    <xf numFmtId="0" fontId="34" fillId="53" borderId="14" xfId="0" applyFont="1" applyFill="1" applyBorder="1" applyAlignment="1">
      <alignment horizontal="center" wrapText="1"/>
    </xf>
    <xf numFmtId="0" fontId="31" fillId="53" borderId="14" xfId="0" applyFont="1" applyFill="1" applyBorder="1" applyAlignment="1">
      <alignment/>
    </xf>
    <xf numFmtId="4" fontId="31" fillId="53" borderId="14" xfId="0" applyNumberFormat="1" applyFont="1" applyFill="1" applyBorder="1" applyAlignment="1">
      <alignment/>
    </xf>
    <xf numFmtId="0" fontId="34" fillId="0" borderId="0" xfId="0" applyFont="1" applyFill="1" applyBorder="1" applyAlignment="1">
      <alignment horizontal="center" vertical="center" wrapText="1"/>
    </xf>
    <xf numFmtId="0" fontId="26" fillId="0" borderId="17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8" xfId="0" applyFont="1" applyBorder="1" applyAlignment="1">
      <alignment/>
    </xf>
    <xf numFmtId="4" fontId="29" fillId="55" borderId="18" xfId="0" applyNumberFormat="1" applyFont="1" applyFill="1" applyBorder="1" applyAlignment="1">
      <alignment horizontal="center" vertical="center" wrapText="1"/>
    </xf>
    <xf numFmtId="4" fontId="30" fillId="55" borderId="14" xfId="112" applyNumberFormat="1" applyFont="1" applyFill="1" applyBorder="1" applyAlignment="1">
      <alignment horizontal="center" vertical="center"/>
      <protection/>
    </xf>
    <xf numFmtId="4" fontId="30" fillId="55" borderId="14" xfId="0" applyNumberFormat="1" applyFont="1" applyFill="1" applyBorder="1" applyAlignment="1">
      <alignment horizontal="center" vertical="center" wrapText="1"/>
    </xf>
    <xf numFmtId="4" fontId="28" fillId="53" borderId="18" xfId="0" applyNumberFormat="1" applyFont="1" applyFill="1" applyBorder="1" applyAlignment="1">
      <alignment horizontal="center" vertical="center"/>
    </xf>
    <xf numFmtId="0" fontId="19" fillId="53" borderId="14" xfId="113" applyFont="1" applyFill="1" applyBorder="1" applyAlignment="1">
      <alignment horizontal="left" wrapText="1"/>
      <protection/>
    </xf>
    <xf numFmtId="0" fontId="19" fillId="53" borderId="17" xfId="0" applyFont="1" applyFill="1" applyBorder="1" applyAlignment="1">
      <alignment horizontal="center" wrapText="1"/>
    </xf>
    <xf numFmtId="0" fontId="19" fillId="53" borderId="18" xfId="0" applyFont="1" applyFill="1" applyBorder="1" applyAlignment="1">
      <alignment horizont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34" fillId="0" borderId="17" xfId="0" applyFont="1" applyFill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center" vertical="center" wrapText="1"/>
    </xf>
    <xf numFmtId="0" fontId="34" fillId="0" borderId="21" xfId="0" applyFont="1" applyFill="1" applyBorder="1" applyAlignment="1">
      <alignment horizontal="center" vertical="center" wrapText="1"/>
    </xf>
    <xf numFmtId="0" fontId="34" fillId="0" borderId="22" xfId="0" applyFont="1" applyFill="1" applyBorder="1" applyAlignment="1">
      <alignment horizontal="center" vertical="center" wrapText="1"/>
    </xf>
    <xf numFmtId="0" fontId="34" fillId="0" borderId="23" xfId="0" applyFont="1" applyFill="1" applyBorder="1" applyAlignment="1">
      <alignment horizontal="center" vertical="center" wrapText="1"/>
    </xf>
    <xf numFmtId="0" fontId="34" fillId="0" borderId="24" xfId="0" applyFont="1" applyFill="1" applyBorder="1" applyAlignment="1">
      <alignment horizontal="center" vertical="center" wrapText="1"/>
    </xf>
    <xf numFmtId="0" fontId="34" fillId="0" borderId="25" xfId="0" applyFont="1" applyFill="1" applyBorder="1" applyAlignment="1">
      <alignment horizontal="center" vertical="center" wrapText="1"/>
    </xf>
    <xf numFmtId="0" fontId="34" fillId="0" borderId="26" xfId="0" applyFont="1" applyFill="1" applyBorder="1" applyAlignment="1">
      <alignment horizontal="center" vertical="center" wrapText="1"/>
    </xf>
    <xf numFmtId="49" fontId="35" fillId="35" borderId="14" xfId="0" applyNumberFormat="1" applyFont="1" applyFill="1" applyBorder="1" applyAlignment="1">
      <alignment horizontal="center" vertical="center" wrapText="1"/>
    </xf>
    <xf numFmtId="49" fontId="27" fillId="0" borderId="14" xfId="0" applyNumberFormat="1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191" fontId="34" fillId="53" borderId="14" xfId="0" applyNumberFormat="1" applyFont="1" applyFill="1" applyBorder="1" applyAlignment="1">
      <alignment horizontal="center" vertical="center" wrapText="1"/>
    </xf>
    <xf numFmtId="0" fontId="28" fillId="0" borderId="14" xfId="0" applyFont="1" applyBorder="1" applyAlignment="1">
      <alignment wrapText="1"/>
    </xf>
    <xf numFmtId="0" fontId="19" fillId="0" borderId="17" xfId="0" applyFont="1" applyBorder="1" applyAlignment="1">
      <alignment horizontal="center" wrapText="1"/>
    </xf>
    <xf numFmtId="0" fontId="19" fillId="0" borderId="18" xfId="0" applyFont="1" applyBorder="1" applyAlignment="1">
      <alignment horizontal="center" wrapText="1"/>
    </xf>
    <xf numFmtId="0" fontId="28" fillId="53" borderId="14" xfId="0" applyFont="1" applyFill="1" applyBorder="1" applyAlignment="1">
      <alignment wrapText="1"/>
    </xf>
    <xf numFmtId="0" fontId="19" fillId="0" borderId="17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53" borderId="17" xfId="0" applyFont="1" applyFill="1" applyBorder="1" applyAlignment="1">
      <alignment horizontal="center" vertical="center" wrapText="1"/>
    </xf>
    <xf numFmtId="0" fontId="19" fillId="53" borderId="18" xfId="0" applyFont="1" applyFill="1" applyBorder="1" applyAlignment="1">
      <alignment horizontal="center" vertical="center" wrapText="1"/>
    </xf>
    <xf numFmtId="0" fontId="28" fillId="53" borderId="14" xfId="0" applyFont="1" applyFill="1" applyBorder="1" applyAlignment="1">
      <alignment/>
    </xf>
    <xf numFmtId="0" fontId="26" fillId="53" borderId="14" xfId="0" applyFont="1" applyFill="1" applyBorder="1" applyAlignment="1">
      <alignment/>
    </xf>
    <xf numFmtId="0" fontId="19" fillId="53" borderId="14" xfId="0" applyFont="1" applyFill="1" applyBorder="1" applyAlignment="1">
      <alignment horizontal="center" wrapText="1"/>
    </xf>
    <xf numFmtId="0" fontId="19" fillId="0" borderId="15" xfId="0" applyFont="1" applyBorder="1" applyAlignment="1">
      <alignment/>
    </xf>
    <xf numFmtId="0" fontId="19" fillId="0" borderId="20" xfId="0" applyFont="1" applyBorder="1" applyAlignment="1">
      <alignment/>
    </xf>
    <xf numFmtId="0" fontId="32" fillId="0" borderId="15" xfId="0" applyFont="1" applyFill="1" applyBorder="1" applyAlignment="1">
      <alignment horizontal="center" vertical="center" wrapText="1"/>
    </xf>
    <xf numFmtId="0" fontId="34" fillId="0" borderId="27" xfId="0" applyFont="1" applyFill="1" applyBorder="1" applyAlignment="1">
      <alignment horizontal="center" vertical="center" wrapText="1"/>
    </xf>
    <xf numFmtId="0" fontId="19" fillId="0" borderId="17" xfId="0" applyFont="1" applyBorder="1" applyAlignment="1">
      <alignment/>
    </xf>
    <xf numFmtId="0" fontId="19" fillId="0" borderId="18" xfId="0" applyFont="1" applyBorder="1" applyAlignment="1">
      <alignment/>
    </xf>
    <xf numFmtId="0" fontId="26" fillId="0" borderId="15" xfId="0" applyFont="1" applyBorder="1" applyAlignment="1">
      <alignment horizontal="center"/>
    </xf>
    <xf numFmtId="0" fontId="26" fillId="0" borderId="20" xfId="0" applyFont="1" applyBorder="1" applyAlignment="1">
      <alignment horizontal="center"/>
    </xf>
  </cellXfs>
  <cellStyles count="11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10" xfId="99"/>
    <cellStyle name="Обычный 16" xfId="100"/>
    <cellStyle name="Обычный 18" xfId="101"/>
    <cellStyle name="Обычный 2" xfId="102"/>
    <cellStyle name="Обычный 2 2" xfId="103"/>
    <cellStyle name="Обычный 2 8" xfId="104"/>
    <cellStyle name="Обычный 2_дод. 9" xfId="105"/>
    <cellStyle name="Обычный 3" xfId="106"/>
    <cellStyle name="Обычный 3 2" xfId="107"/>
    <cellStyle name="Обычный 4" xfId="108"/>
    <cellStyle name="Обычный 5" xfId="109"/>
    <cellStyle name="Обычный 9 2" xfId="110"/>
    <cellStyle name="Обычный_дод 2-9_дод  2-10. з бюджетом розвитку" xfId="111"/>
    <cellStyle name="Обычный_дод 6 із заборг" xfId="112"/>
    <cellStyle name="Обычный_дод 8 до бюджету 2012" xfId="113"/>
    <cellStyle name="Followed Hyperlink" xfId="114"/>
    <cellStyle name="Підсумок" xfId="115"/>
    <cellStyle name="Плохой" xfId="116"/>
    <cellStyle name="Поганий" xfId="117"/>
    <cellStyle name="Пояснение" xfId="118"/>
    <cellStyle name="Примечание" xfId="119"/>
    <cellStyle name="Примітка" xfId="120"/>
    <cellStyle name="Percent" xfId="121"/>
    <cellStyle name="Результат" xfId="122"/>
    <cellStyle name="Связанная ячейка" xfId="123"/>
    <cellStyle name="Середній" xfId="124"/>
    <cellStyle name="Стиль 1" xfId="125"/>
    <cellStyle name="Текст пояснення" xfId="126"/>
    <cellStyle name="Текст предупреждения" xfId="127"/>
    <cellStyle name="Тысячи [0]_Розподіл (2)" xfId="128"/>
    <cellStyle name="Тысячи_Розподіл (2)" xfId="129"/>
    <cellStyle name="Comma" xfId="130"/>
    <cellStyle name="Comma [0]" xfId="131"/>
    <cellStyle name="Хороший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29"/>
  <sheetViews>
    <sheetView tabSelected="1" zoomScale="75" zoomScaleNormal="75" zoomScalePageLayoutView="0" workbookViewId="0" topLeftCell="D1">
      <pane ySplit="7" topLeftCell="A8" activePane="bottomLeft" state="frozen"/>
      <selection pane="topLeft" activeCell="B1" sqref="B1"/>
      <selection pane="bottomLeft" activeCell="AH11" sqref="AH11"/>
    </sheetView>
  </sheetViews>
  <sheetFormatPr defaultColWidth="9.33203125" defaultRowHeight="12.75"/>
  <cols>
    <col min="1" max="1" width="0.1640625" style="0" hidden="1" customWidth="1"/>
    <col min="2" max="2" width="4.83203125" style="4" customWidth="1"/>
    <col min="3" max="3" width="0.328125" style="0" hidden="1" customWidth="1"/>
    <col min="4" max="4" width="106.66015625" style="0" customWidth="1"/>
    <col min="5" max="5" width="20" style="0" hidden="1" customWidth="1"/>
    <col min="6" max="6" width="16.16015625" style="0" hidden="1" customWidth="1"/>
    <col min="7" max="7" width="25.83203125" style="0" hidden="1" customWidth="1"/>
    <col min="8" max="8" width="26.16015625" style="0" hidden="1" customWidth="1"/>
    <col min="9" max="11" width="20.33203125" style="0" hidden="1" customWidth="1"/>
    <col min="12" max="12" width="22.16015625" style="0" hidden="1" customWidth="1"/>
    <col min="13" max="13" width="21.5" style="0" hidden="1" customWidth="1"/>
    <col min="14" max="15" width="20.33203125" style="0" hidden="1" customWidth="1"/>
    <col min="16" max="16" width="22.66015625" style="0" hidden="1" customWidth="1"/>
    <col min="17" max="17" width="32.16015625" style="0" hidden="1" customWidth="1"/>
    <col min="18" max="18" width="30.16015625" style="0" hidden="1" customWidth="1"/>
    <col min="19" max="19" width="28.83203125" style="0" hidden="1" customWidth="1"/>
    <col min="20" max="20" width="0.1640625" style="0" hidden="1" customWidth="1"/>
    <col min="21" max="21" width="15.5" style="0" hidden="1" customWidth="1"/>
    <col min="22" max="22" width="24.5" style="0" hidden="1" customWidth="1"/>
    <col min="23" max="23" width="21.16015625" style="0" hidden="1" customWidth="1"/>
    <col min="24" max="24" width="27.33203125" style="0" hidden="1" customWidth="1"/>
    <col min="25" max="25" width="23.66015625" style="0" hidden="1" customWidth="1"/>
    <col min="26" max="26" width="25.16015625" style="0" hidden="1" customWidth="1"/>
    <col min="27" max="27" width="20.5" style="0" hidden="1" customWidth="1"/>
    <col min="28" max="28" width="45.5" style="0" hidden="1" customWidth="1"/>
    <col min="29" max="29" width="22" style="0" hidden="1" customWidth="1"/>
    <col min="30" max="30" width="25" style="3" customWidth="1"/>
    <col min="31" max="31" width="17.83203125" style="0" customWidth="1"/>
    <col min="32" max="32" width="25.33203125" style="0" customWidth="1"/>
    <col min="33" max="33" width="23.5" style="0" customWidth="1"/>
    <col min="34" max="34" width="21.5" style="0" customWidth="1"/>
    <col min="35" max="35" width="25.5" style="0" customWidth="1"/>
    <col min="37" max="37" width="18.5" style="0" customWidth="1"/>
  </cols>
  <sheetData>
    <row r="1" ht="12.75">
      <c r="AG1" s="4"/>
    </row>
    <row r="2" spans="30:33" ht="12.75">
      <c r="AD2" s="77"/>
      <c r="AG2" s="6"/>
    </row>
    <row r="3" ht="12.75">
      <c r="AH3" s="29"/>
    </row>
    <row r="4" spans="2:34" ht="18.75">
      <c r="B4" s="249" t="s">
        <v>179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249"/>
      <c r="Y4" s="249"/>
      <c r="Z4" s="249"/>
      <c r="AA4" s="249"/>
      <c r="AB4" s="249"/>
      <c r="AC4" s="249"/>
      <c r="AD4" s="249"/>
      <c r="AE4" s="249"/>
      <c r="AF4" s="249"/>
      <c r="AG4" s="249"/>
      <c r="AH4" s="29"/>
    </row>
    <row r="5" spans="1:35" ht="20.25" customHeight="1">
      <c r="A5" s="276" t="s">
        <v>102</v>
      </c>
      <c r="B5" s="236"/>
      <c r="C5" s="254" t="s">
        <v>103</v>
      </c>
      <c r="D5" s="218"/>
      <c r="E5" s="8" t="s">
        <v>104</v>
      </c>
      <c r="F5" s="8" t="s">
        <v>105</v>
      </c>
      <c r="G5" s="46" t="s">
        <v>106</v>
      </c>
      <c r="H5" s="8" t="s">
        <v>107</v>
      </c>
      <c r="I5" s="8" t="s">
        <v>34</v>
      </c>
      <c r="J5" s="250" t="s">
        <v>35</v>
      </c>
      <c r="K5" s="250" t="s">
        <v>36</v>
      </c>
      <c r="L5" s="250" t="s">
        <v>37</v>
      </c>
      <c r="M5" s="250" t="s">
        <v>38</v>
      </c>
      <c r="N5" s="252" t="s">
        <v>39</v>
      </c>
      <c r="O5" s="253"/>
      <c r="P5" s="254"/>
      <c r="Q5" s="278" t="s">
        <v>40</v>
      </c>
      <c r="R5" s="278" t="s">
        <v>41</v>
      </c>
      <c r="S5" s="280" t="s">
        <v>42</v>
      </c>
      <c r="T5" s="281"/>
      <c r="U5" s="237"/>
      <c r="V5" s="264" t="s">
        <v>43</v>
      </c>
      <c r="W5" s="264" t="s">
        <v>44</v>
      </c>
      <c r="X5" s="264" t="s">
        <v>45</v>
      </c>
      <c r="Y5" s="267" t="s">
        <v>46</v>
      </c>
      <c r="Z5" s="269" t="s">
        <v>47</v>
      </c>
      <c r="AA5" s="245" t="s">
        <v>48</v>
      </c>
      <c r="AB5" s="245" t="s">
        <v>49</v>
      </c>
      <c r="AC5" s="260" t="s">
        <v>50</v>
      </c>
      <c r="AD5" s="238"/>
      <c r="AE5" s="218"/>
      <c r="AF5" s="218"/>
      <c r="AG5" s="218"/>
      <c r="AH5" s="218"/>
      <c r="AI5" s="7" t="s">
        <v>51</v>
      </c>
    </row>
    <row r="6" spans="1:35" ht="15.75">
      <c r="A6" s="276"/>
      <c r="B6" s="250" t="s">
        <v>52</v>
      </c>
      <c r="C6" s="277"/>
      <c r="D6" s="250" t="s">
        <v>53</v>
      </c>
      <c r="E6" s="9">
        <v>2</v>
      </c>
      <c r="F6" s="9">
        <v>3</v>
      </c>
      <c r="G6" s="10">
        <v>4</v>
      </c>
      <c r="H6" s="9">
        <v>3</v>
      </c>
      <c r="I6" s="9">
        <v>4</v>
      </c>
      <c r="J6" s="251"/>
      <c r="K6" s="251"/>
      <c r="L6" s="251"/>
      <c r="M6" s="251"/>
      <c r="N6" s="255"/>
      <c r="O6" s="256"/>
      <c r="P6" s="257"/>
      <c r="Q6" s="279"/>
      <c r="R6" s="279"/>
      <c r="S6" s="274" t="s">
        <v>88</v>
      </c>
      <c r="T6" s="275"/>
      <c r="U6" s="239"/>
      <c r="V6" s="265"/>
      <c r="W6" s="265"/>
      <c r="X6" s="265"/>
      <c r="Y6" s="268"/>
      <c r="Z6" s="270"/>
      <c r="AA6" s="246"/>
      <c r="AB6" s="246"/>
      <c r="AC6" s="261"/>
      <c r="AD6" s="247" t="s">
        <v>89</v>
      </c>
      <c r="AE6" s="247" t="s">
        <v>40</v>
      </c>
      <c r="AF6" s="247" t="s">
        <v>41</v>
      </c>
      <c r="AG6" s="57" t="s">
        <v>42</v>
      </c>
      <c r="AH6" s="245" t="s">
        <v>246</v>
      </c>
      <c r="AI6" s="247" t="s">
        <v>33</v>
      </c>
    </row>
    <row r="7" spans="1:35" ht="36.75" customHeight="1">
      <c r="A7" s="8">
        <v>1</v>
      </c>
      <c r="B7" s="251"/>
      <c r="C7" s="41">
        <v>1</v>
      </c>
      <c r="D7" s="251"/>
      <c r="E7" s="9"/>
      <c r="F7" s="9"/>
      <c r="G7" s="10"/>
      <c r="H7" s="9"/>
      <c r="I7" s="9"/>
      <c r="J7" s="8"/>
      <c r="K7" s="8"/>
      <c r="L7" s="8"/>
      <c r="M7" s="8">
        <v>3</v>
      </c>
      <c r="N7" s="8"/>
      <c r="O7" s="8"/>
      <c r="P7" s="8">
        <v>4</v>
      </c>
      <c r="Q7" s="11">
        <v>4</v>
      </c>
      <c r="R7" s="11">
        <v>5</v>
      </c>
      <c r="S7" s="12">
        <v>6</v>
      </c>
      <c r="T7" s="13"/>
      <c r="U7" s="13"/>
      <c r="V7" s="13"/>
      <c r="W7" s="13"/>
      <c r="X7" s="11">
        <v>5</v>
      </c>
      <c r="Y7" s="11">
        <v>6</v>
      </c>
      <c r="Z7" s="14">
        <v>5</v>
      </c>
      <c r="AA7" s="14"/>
      <c r="AB7" s="42"/>
      <c r="AC7" s="43"/>
      <c r="AD7" s="248"/>
      <c r="AE7" s="248"/>
      <c r="AF7" s="248"/>
      <c r="AG7" s="41" t="s">
        <v>88</v>
      </c>
      <c r="AH7" s="246"/>
      <c r="AI7" s="248"/>
    </row>
    <row r="8" spans="1:35" ht="15.75" customHeight="1">
      <c r="A8" s="8"/>
      <c r="B8" s="62" t="s">
        <v>21</v>
      </c>
      <c r="C8" s="63"/>
      <c r="D8" s="64" t="s">
        <v>177</v>
      </c>
      <c r="E8" s="65"/>
      <c r="F8" s="65"/>
      <c r="G8" s="66"/>
      <c r="H8" s="65"/>
      <c r="I8" s="65"/>
      <c r="J8" s="67"/>
      <c r="K8" s="67"/>
      <c r="L8" s="67"/>
      <c r="M8" s="67"/>
      <c r="N8" s="67"/>
      <c r="O8" s="67"/>
      <c r="P8" s="67"/>
      <c r="Q8" s="68"/>
      <c r="R8" s="68"/>
      <c r="S8" s="69"/>
      <c r="T8" s="70"/>
      <c r="U8" s="70"/>
      <c r="V8" s="70"/>
      <c r="W8" s="70"/>
      <c r="X8" s="68"/>
      <c r="Y8" s="68"/>
      <c r="Z8" s="68"/>
      <c r="AA8" s="68"/>
      <c r="AB8" s="71"/>
      <c r="AC8" s="72"/>
      <c r="AD8" s="61">
        <f aca="true" t="shared" si="0" ref="AD8:AD44">AE8+AF8</f>
        <v>17279283.68</v>
      </c>
      <c r="AE8" s="73"/>
      <c r="AF8" s="74">
        <f>SUM(AF9:AF49)</f>
        <v>17279283.68</v>
      </c>
      <c r="AG8" s="74">
        <f>SUM(AG9:AG49)</f>
        <v>17279283.68</v>
      </c>
      <c r="AH8" s="74">
        <f>SUM(AH9:AH49)</f>
        <v>7784658.149999997</v>
      </c>
      <c r="AI8" s="17">
        <f aca="true" t="shared" si="1" ref="AI8:AI48">AH8/AF8*100</f>
        <v>45.051972605845876</v>
      </c>
    </row>
    <row r="9" spans="1:35" s="55" customFormat="1" ht="75">
      <c r="A9" s="46"/>
      <c r="B9" s="58" t="s">
        <v>137</v>
      </c>
      <c r="C9" s="47"/>
      <c r="D9" s="40" t="s">
        <v>178</v>
      </c>
      <c r="E9" s="10"/>
      <c r="F9" s="10"/>
      <c r="G9" s="10"/>
      <c r="H9" s="10"/>
      <c r="I9" s="10"/>
      <c r="J9" s="46"/>
      <c r="K9" s="46"/>
      <c r="L9" s="46"/>
      <c r="M9" s="46"/>
      <c r="N9" s="46"/>
      <c r="O9" s="46"/>
      <c r="P9" s="46"/>
      <c r="Q9" s="48"/>
      <c r="R9" s="48"/>
      <c r="S9" s="49"/>
      <c r="T9" s="50"/>
      <c r="U9" s="50"/>
      <c r="V9" s="50"/>
      <c r="W9" s="50"/>
      <c r="X9" s="48"/>
      <c r="Y9" s="48"/>
      <c r="Z9" s="51"/>
      <c r="AA9" s="51"/>
      <c r="AB9" s="52"/>
      <c r="AC9" s="53"/>
      <c r="AD9" s="56">
        <f t="shared" si="0"/>
        <v>7809864.48</v>
      </c>
      <c r="AE9" s="54"/>
      <c r="AF9" s="241">
        <v>7809864.48</v>
      </c>
      <c r="AG9" s="26">
        <f aca="true" t="shared" si="2" ref="AG9:AG49">AF9</f>
        <v>7809864.48</v>
      </c>
      <c r="AH9" s="26">
        <f>3668307.2+81489.6+76836.8+108000+395513.2+28942.66</f>
        <v>4359089.46</v>
      </c>
      <c r="AI9" s="22">
        <f t="shared" si="1"/>
        <v>55.815174144993605</v>
      </c>
    </row>
    <row r="10" spans="1:35" s="55" customFormat="1" ht="37.5">
      <c r="A10" s="46"/>
      <c r="B10" s="58"/>
      <c r="C10" s="47"/>
      <c r="D10" s="40" t="s">
        <v>228</v>
      </c>
      <c r="E10" s="10"/>
      <c r="F10" s="10"/>
      <c r="G10" s="10"/>
      <c r="H10" s="10"/>
      <c r="I10" s="10"/>
      <c r="J10" s="46"/>
      <c r="K10" s="46"/>
      <c r="L10" s="46"/>
      <c r="M10" s="46"/>
      <c r="N10" s="46"/>
      <c r="O10" s="46"/>
      <c r="P10" s="46"/>
      <c r="Q10" s="48"/>
      <c r="R10" s="48"/>
      <c r="S10" s="49"/>
      <c r="T10" s="50"/>
      <c r="U10" s="50"/>
      <c r="V10" s="50"/>
      <c r="W10" s="50"/>
      <c r="X10" s="48"/>
      <c r="Y10" s="48"/>
      <c r="Z10" s="51"/>
      <c r="AA10" s="51"/>
      <c r="AB10" s="52"/>
      <c r="AC10" s="53"/>
      <c r="AD10" s="56">
        <f>AF10</f>
        <v>137000</v>
      </c>
      <c r="AE10" s="54"/>
      <c r="AF10" s="241">
        <v>137000</v>
      </c>
      <c r="AG10" s="26">
        <f>AF10</f>
        <v>137000</v>
      </c>
      <c r="AH10" s="26"/>
      <c r="AI10" s="22">
        <f t="shared" si="1"/>
        <v>0</v>
      </c>
    </row>
    <row r="11" spans="1:35" s="55" customFormat="1" ht="37.5">
      <c r="A11" s="46"/>
      <c r="B11" s="58"/>
      <c r="C11" s="47"/>
      <c r="D11" s="40" t="s">
        <v>229</v>
      </c>
      <c r="E11" s="10"/>
      <c r="F11" s="10"/>
      <c r="G11" s="10"/>
      <c r="H11" s="10"/>
      <c r="I11" s="10"/>
      <c r="J11" s="46"/>
      <c r="K11" s="46"/>
      <c r="L11" s="46"/>
      <c r="M11" s="46"/>
      <c r="N11" s="46"/>
      <c r="O11" s="46"/>
      <c r="P11" s="46"/>
      <c r="Q11" s="48"/>
      <c r="R11" s="48"/>
      <c r="S11" s="49"/>
      <c r="T11" s="50"/>
      <c r="U11" s="50"/>
      <c r="V11" s="50"/>
      <c r="W11" s="50"/>
      <c r="X11" s="48"/>
      <c r="Y11" s="48"/>
      <c r="Z11" s="51"/>
      <c r="AA11" s="51"/>
      <c r="AB11" s="52"/>
      <c r="AC11" s="53"/>
      <c r="AD11" s="56">
        <f>AF11</f>
        <v>86000</v>
      </c>
      <c r="AE11" s="54"/>
      <c r="AF11" s="241">
        <v>86000</v>
      </c>
      <c r="AG11" s="26">
        <f>AF11</f>
        <v>86000</v>
      </c>
      <c r="AH11" s="26"/>
      <c r="AI11" s="22">
        <f t="shared" si="1"/>
        <v>0</v>
      </c>
    </row>
    <row r="12" spans="1:35" s="55" customFormat="1" ht="37.5">
      <c r="A12" s="46"/>
      <c r="B12" s="58"/>
      <c r="C12" s="47"/>
      <c r="D12" s="40" t="s">
        <v>230</v>
      </c>
      <c r="E12" s="10"/>
      <c r="F12" s="10"/>
      <c r="G12" s="10"/>
      <c r="H12" s="10"/>
      <c r="I12" s="10"/>
      <c r="J12" s="46"/>
      <c r="K12" s="46"/>
      <c r="L12" s="46"/>
      <c r="M12" s="46"/>
      <c r="N12" s="46"/>
      <c r="O12" s="46"/>
      <c r="P12" s="46"/>
      <c r="Q12" s="48"/>
      <c r="R12" s="48"/>
      <c r="S12" s="49"/>
      <c r="T12" s="50"/>
      <c r="U12" s="50"/>
      <c r="V12" s="50"/>
      <c r="W12" s="50"/>
      <c r="X12" s="48"/>
      <c r="Y12" s="48"/>
      <c r="Z12" s="51"/>
      <c r="AA12" s="51"/>
      <c r="AB12" s="52"/>
      <c r="AC12" s="53"/>
      <c r="AD12" s="56">
        <f>AF12</f>
        <v>123000</v>
      </c>
      <c r="AE12" s="54"/>
      <c r="AF12" s="241">
        <v>123000</v>
      </c>
      <c r="AG12" s="26">
        <f>AF12</f>
        <v>123000</v>
      </c>
      <c r="AH12" s="26"/>
      <c r="AI12" s="22">
        <f t="shared" si="1"/>
        <v>0</v>
      </c>
    </row>
    <row r="13" spans="1:35" s="55" customFormat="1" ht="37.5">
      <c r="A13" s="46"/>
      <c r="B13" s="58"/>
      <c r="C13" s="47"/>
      <c r="D13" s="40" t="s">
        <v>234</v>
      </c>
      <c r="E13" s="10"/>
      <c r="F13" s="10"/>
      <c r="G13" s="10"/>
      <c r="H13" s="10"/>
      <c r="I13" s="10"/>
      <c r="J13" s="46"/>
      <c r="K13" s="46"/>
      <c r="L13" s="46"/>
      <c r="M13" s="46"/>
      <c r="N13" s="46"/>
      <c r="O13" s="46"/>
      <c r="P13" s="46"/>
      <c r="Q13" s="48"/>
      <c r="R13" s="48"/>
      <c r="S13" s="49"/>
      <c r="T13" s="50"/>
      <c r="U13" s="50"/>
      <c r="V13" s="50"/>
      <c r="W13" s="50"/>
      <c r="X13" s="48"/>
      <c r="Y13" s="48"/>
      <c r="Z13" s="51"/>
      <c r="AA13" s="51"/>
      <c r="AB13" s="52"/>
      <c r="AC13" s="53"/>
      <c r="AD13" s="56">
        <f>AF13</f>
        <v>92000</v>
      </c>
      <c r="AE13" s="54"/>
      <c r="AF13" s="241">
        <v>92000</v>
      </c>
      <c r="AG13" s="26">
        <f>AF13</f>
        <v>92000</v>
      </c>
      <c r="AH13" s="26"/>
      <c r="AI13" s="22">
        <f t="shared" si="1"/>
        <v>0</v>
      </c>
    </row>
    <row r="14" spans="1:35" s="55" customFormat="1" ht="37.5">
      <c r="A14" s="46"/>
      <c r="B14" s="58" t="s">
        <v>90</v>
      </c>
      <c r="C14" s="47"/>
      <c r="D14" s="93" t="s">
        <v>187</v>
      </c>
      <c r="E14" s="94"/>
      <c r="F14" s="94"/>
      <c r="G14" s="94"/>
      <c r="H14" s="94"/>
      <c r="I14" s="94"/>
      <c r="J14" s="95"/>
      <c r="K14" s="95"/>
      <c r="L14" s="95"/>
      <c r="M14" s="95"/>
      <c r="N14" s="95"/>
      <c r="O14" s="95"/>
      <c r="P14" s="95"/>
      <c r="Q14" s="96"/>
      <c r="R14" s="96"/>
      <c r="S14" s="97"/>
      <c r="T14" s="98"/>
      <c r="U14" s="98"/>
      <c r="V14" s="98"/>
      <c r="W14" s="98"/>
      <c r="X14" s="96"/>
      <c r="Y14" s="96"/>
      <c r="Z14" s="96"/>
      <c r="AA14" s="96"/>
      <c r="AB14" s="52"/>
      <c r="AC14" s="99"/>
      <c r="AD14" s="79">
        <f t="shared" si="0"/>
        <v>118683.8</v>
      </c>
      <c r="AE14" s="54"/>
      <c r="AF14" s="242">
        <v>118683.8</v>
      </c>
      <c r="AG14" s="26">
        <f t="shared" si="2"/>
        <v>118683.8</v>
      </c>
      <c r="AH14" s="80">
        <f>6999.8+48399</f>
        <v>55398.8</v>
      </c>
      <c r="AI14" s="22">
        <f t="shared" si="1"/>
        <v>46.677642610027654</v>
      </c>
    </row>
    <row r="15" spans="1:35" s="55" customFormat="1" ht="37.5">
      <c r="A15" s="46"/>
      <c r="B15" s="58" t="s">
        <v>91</v>
      </c>
      <c r="C15" s="47"/>
      <c r="D15" s="93" t="s">
        <v>188</v>
      </c>
      <c r="E15" s="94"/>
      <c r="F15" s="94"/>
      <c r="G15" s="94"/>
      <c r="H15" s="94"/>
      <c r="I15" s="94"/>
      <c r="J15" s="95"/>
      <c r="K15" s="95"/>
      <c r="L15" s="95"/>
      <c r="M15" s="95"/>
      <c r="N15" s="95"/>
      <c r="O15" s="95"/>
      <c r="P15" s="95"/>
      <c r="Q15" s="96"/>
      <c r="R15" s="96"/>
      <c r="S15" s="97"/>
      <c r="T15" s="98"/>
      <c r="U15" s="98"/>
      <c r="V15" s="98"/>
      <c r="W15" s="98"/>
      <c r="X15" s="96"/>
      <c r="Y15" s="96"/>
      <c r="Z15" s="96"/>
      <c r="AA15" s="96"/>
      <c r="AB15" s="52"/>
      <c r="AC15" s="99"/>
      <c r="AD15" s="79">
        <f t="shared" si="0"/>
        <v>72000</v>
      </c>
      <c r="AE15" s="54"/>
      <c r="AF15" s="242">
        <v>72000</v>
      </c>
      <c r="AG15" s="26">
        <f t="shared" si="2"/>
        <v>72000</v>
      </c>
      <c r="AH15" s="80">
        <f>5999.8+22572</f>
        <v>28571.8</v>
      </c>
      <c r="AI15" s="22">
        <f t="shared" si="1"/>
        <v>39.683055555555555</v>
      </c>
    </row>
    <row r="16" spans="1:35" s="55" customFormat="1" ht="37.5">
      <c r="A16" s="46"/>
      <c r="B16" s="58" t="s">
        <v>92</v>
      </c>
      <c r="C16" s="47"/>
      <c r="D16" s="93" t="s">
        <v>189</v>
      </c>
      <c r="E16" s="94"/>
      <c r="F16" s="94"/>
      <c r="G16" s="94"/>
      <c r="H16" s="94"/>
      <c r="I16" s="94"/>
      <c r="J16" s="95"/>
      <c r="K16" s="95"/>
      <c r="L16" s="95"/>
      <c r="M16" s="95"/>
      <c r="N16" s="95"/>
      <c r="O16" s="95"/>
      <c r="P16" s="95"/>
      <c r="Q16" s="96"/>
      <c r="R16" s="96"/>
      <c r="S16" s="97"/>
      <c r="T16" s="98"/>
      <c r="U16" s="98"/>
      <c r="V16" s="98"/>
      <c r="W16" s="98"/>
      <c r="X16" s="96"/>
      <c r="Y16" s="96"/>
      <c r="Z16" s="96"/>
      <c r="AA16" s="96"/>
      <c r="AB16" s="52"/>
      <c r="AC16" s="99"/>
      <c r="AD16" s="79">
        <f t="shared" si="0"/>
        <v>72000</v>
      </c>
      <c r="AE16" s="54"/>
      <c r="AF16" s="242">
        <v>72000</v>
      </c>
      <c r="AG16" s="26">
        <f t="shared" si="2"/>
        <v>72000</v>
      </c>
      <c r="AH16" s="80">
        <f>5999.8+22572</f>
        <v>28571.8</v>
      </c>
      <c r="AI16" s="22">
        <f t="shared" si="1"/>
        <v>39.683055555555555</v>
      </c>
    </row>
    <row r="17" spans="1:35" s="55" customFormat="1" ht="37.5">
      <c r="A17" s="46"/>
      <c r="B17" s="58" t="s">
        <v>93</v>
      </c>
      <c r="C17" s="47"/>
      <c r="D17" s="93" t="s">
        <v>190</v>
      </c>
      <c r="E17" s="94"/>
      <c r="F17" s="94"/>
      <c r="G17" s="94"/>
      <c r="H17" s="94"/>
      <c r="I17" s="94"/>
      <c r="J17" s="95"/>
      <c r="K17" s="95"/>
      <c r="L17" s="95"/>
      <c r="M17" s="95"/>
      <c r="N17" s="95"/>
      <c r="O17" s="95"/>
      <c r="P17" s="95"/>
      <c r="Q17" s="96"/>
      <c r="R17" s="96"/>
      <c r="S17" s="97"/>
      <c r="T17" s="98"/>
      <c r="U17" s="98"/>
      <c r="V17" s="98"/>
      <c r="W17" s="98"/>
      <c r="X17" s="96"/>
      <c r="Y17" s="96"/>
      <c r="Z17" s="96"/>
      <c r="AA17" s="96"/>
      <c r="AB17" s="52"/>
      <c r="AC17" s="99"/>
      <c r="AD17" s="79">
        <f t="shared" si="0"/>
        <v>114000</v>
      </c>
      <c r="AE17" s="54"/>
      <c r="AF17" s="242">
        <v>114000</v>
      </c>
      <c r="AG17" s="26">
        <f t="shared" si="2"/>
        <v>114000</v>
      </c>
      <c r="AH17" s="80">
        <f>7999.8+40380</f>
        <v>48379.8</v>
      </c>
      <c r="AI17" s="22">
        <f t="shared" si="1"/>
        <v>42.43842105263158</v>
      </c>
    </row>
    <row r="18" spans="1:35" s="55" customFormat="1" ht="37.5">
      <c r="A18" s="46"/>
      <c r="B18" s="58" t="s">
        <v>124</v>
      </c>
      <c r="C18" s="47"/>
      <c r="D18" s="93" t="s">
        <v>191</v>
      </c>
      <c r="E18" s="94"/>
      <c r="F18" s="94"/>
      <c r="G18" s="94"/>
      <c r="H18" s="94"/>
      <c r="I18" s="94"/>
      <c r="J18" s="95"/>
      <c r="K18" s="95"/>
      <c r="L18" s="95"/>
      <c r="M18" s="95"/>
      <c r="N18" s="95"/>
      <c r="O18" s="95"/>
      <c r="P18" s="95"/>
      <c r="Q18" s="96"/>
      <c r="R18" s="96"/>
      <c r="S18" s="97"/>
      <c r="T18" s="98"/>
      <c r="U18" s="98"/>
      <c r="V18" s="98"/>
      <c r="W18" s="98"/>
      <c r="X18" s="96"/>
      <c r="Y18" s="96"/>
      <c r="Z18" s="96"/>
      <c r="AA18" s="96"/>
      <c r="AB18" s="52"/>
      <c r="AC18" s="99"/>
      <c r="AD18" s="79">
        <f t="shared" si="0"/>
        <v>72000</v>
      </c>
      <c r="AE18" s="54"/>
      <c r="AF18" s="242">
        <v>72000</v>
      </c>
      <c r="AG18" s="26">
        <f t="shared" si="2"/>
        <v>72000</v>
      </c>
      <c r="AH18" s="80">
        <f>5999.8+31092</f>
        <v>37091.8</v>
      </c>
      <c r="AI18" s="22">
        <f t="shared" si="1"/>
        <v>51.5163888888889</v>
      </c>
    </row>
    <row r="19" spans="1:35" s="55" customFormat="1" ht="37.5">
      <c r="A19" s="46"/>
      <c r="B19" s="58" t="s">
        <v>128</v>
      </c>
      <c r="C19" s="47"/>
      <c r="D19" s="93" t="s">
        <v>192</v>
      </c>
      <c r="E19" s="94"/>
      <c r="F19" s="94"/>
      <c r="G19" s="94"/>
      <c r="H19" s="94"/>
      <c r="I19" s="94"/>
      <c r="J19" s="95"/>
      <c r="K19" s="95"/>
      <c r="L19" s="95"/>
      <c r="M19" s="95"/>
      <c r="N19" s="95"/>
      <c r="O19" s="95"/>
      <c r="P19" s="95"/>
      <c r="Q19" s="96"/>
      <c r="R19" s="96"/>
      <c r="S19" s="97"/>
      <c r="T19" s="98"/>
      <c r="U19" s="98"/>
      <c r="V19" s="98"/>
      <c r="W19" s="98"/>
      <c r="X19" s="96"/>
      <c r="Y19" s="96"/>
      <c r="Z19" s="96"/>
      <c r="AA19" s="96"/>
      <c r="AB19" s="52"/>
      <c r="AC19" s="99"/>
      <c r="AD19" s="79">
        <f t="shared" si="0"/>
        <v>72000</v>
      </c>
      <c r="AE19" s="54"/>
      <c r="AF19" s="242">
        <v>72000</v>
      </c>
      <c r="AG19" s="26">
        <f t="shared" si="2"/>
        <v>72000</v>
      </c>
      <c r="AH19" s="80">
        <f>5999.8+22572</f>
        <v>28571.8</v>
      </c>
      <c r="AI19" s="22">
        <f t="shared" si="1"/>
        <v>39.683055555555555</v>
      </c>
    </row>
    <row r="20" spans="1:35" s="55" customFormat="1" ht="37.5">
      <c r="A20" s="46"/>
      <c r="B20" s="58" t="s">
        <v>84</v>
      </c>
      <c r="C20" s="47"/>
      <c r="D20" s="93" t="s">
        <v>193</v>
      </c>
      <c r="E20" s="94"/>
      <c r="F20" s="94"/>
      <c r="G20" s="94"/>
      <c r="H20" s="94"/>
      <c r="I20" s="94"/>
      <c r="J20" s="95"/>
      <c r="K20" s="95"/>
      <c r="L20" s="95"/>
      <c r="M20" s="95"/>
      <c r="N20" s="95"/>
      <c r="O20" s="95"/>
      <c r="P20" s="95"/>
      <c r="Q20" s="96"/>
      <c r="R20" s="96"/>
      <c r="S20" s="97"/>
      <c r="T20" s="98"/>
      <c r="U20" s="98"/>
      <c r="V20" s="98"/>
      <c r="W20" s="98"/>
      <c r="X20" s="96"/>
      <c r="Y20" s="96"/>
      <c r="Z20" s="96"/>
      <c r="AA20" s="96"/>
      <c r="AB20" s="52"/>
      <c r="AC20" s="99"/>
      <c r="AD20" s="79">
        <f t="shared" si="0"/>
        <v>178379.4</v>
      </c>
      <c r="AE20" s="54"/>
      <c r="AF20" s="242">
        <v>178379.4</v>
      </c>
      <c r="AG20" s="26">
        <f t="shared" si="2"/>
        <v>178379.4</v>
      </c>
      <c r="AH20" s="80">
        <f>10499.8+75092</f>
        <v>85591.8</v>
      </c>
      <c r="AI20" s="22">
        <f t="shared" si="1"/>
        <v>47.98300700641442</v>
      </c>
    </row>
    <row r="21" spans="1:35" s="55" customFormat="1" ht="37.5">
      <c r="A21" s="46"/>
      <c r="B21" s="58" t="s">
        <v>143</v>
      </c>
      <c r="C21" s="47"/>
      <c r="D21" s="93" t="s">
        <v>194</v>
      </c>
      <c r="E21" s="94"/>
      <c r="F21" s="94"/>
      <c r="G21" s="94"/>
      <c r="H21" s="94"/>
      <c r="I21" s="94"/>
      <c r="J21" s="95"/>
      <c r="K21" s="95"/>
      <c r="L21" s="95"/>
      <c r="M21" s="95"/>
      <c r="N21" s="95"/>
      <c r="O21" s="95"/>
      <c r="P21" s="95"/>
      <c r="Q21" s="96"/>
      <c r="R21" s="96"/>
      <c r="S21" s="97"/>
      <c r="T21" s="98"/>
      <c r="U21" s="98"/>
      <c r="V21" s="98"/>
      <c r="W21" s="98"/>
      <c r="X21" s="96"/>
      <c r="Y21" s="96"/>
      <c r="Z21" s="96"/>
      <c r="AA21" s="96"/>
      <c r="AB21" s="52"/>
      <c r="AC21" s="99"/>
      <c r="AD21" s="79">
        <f t="shared" si="0"/>
        <v>118920</v>
      </c>
      <c r="AE21" s="54"/>
      <c r="AF21" s="242">
        <v>118920</v>
      </c>
      <c r="AG21" s="26">
        <f t="shared" si="2"/>
        <v>118920</v>
      </c>
      <c r="AH21" s="80">
        <f>7499.8+47475</f>
        <v>54974.8</v>
      </c>
      <c r="AI21" s="22">
        <f t="shared" si="1"/>
        <v>46.22838883282879</v>
      </c>
    </row>
    <row r="22" spans="1:35" s="55" customFormat="1" ht="37.5">
      <c r="A22" s="46"/>
      <c r="B22" s="58" t="s">
        <v>150</v>
      </c>
      <c r="C22" s="47"/>
      <c r="D22" s="93" t="s">
        <v>204</v>
      </c>
      <c r="E22" s="94"/>
      <c r="F22" s="94"/>
      <c r="G22" s="94"/>
      <c r="H22" s="94"/>
      <c r="I22" s="94"/>
      <c r="J22" s="95"/>
      <c r="K22" s="95"/>
      <c r="L22" s="95"/>
      <c r="M22" s="95"/>
      <c r="N22" s="95"/>
      <c r="O22" s="95"/>
      <c r="P22" s="95"/>
      <c r="Q22" s="96"/>
      <c r="R22" s="96"/>
      <c r="S22" s="97"/>
      <c r="T22" s="98"/>
      <c r="U22" s="98"/>
      <c r="V22" s="98"/>
      <c r="W22" s="98"/>
      <c r="X22" s="96"/>
      <c r="Y22" s="96"/>
      <c r="Z22" s="96"/>
      <c r="AA22" s="96"/>
      <c r="AB22" s="52"/>
      <c r="AC22" s="99"/>
      <c r="AD22" s="79">
        <f t="shared" si="0"/>
        <v>45986.4</v>
      </c>
      <c r="AE22" s="54"/>
      <c r="AF22" s="242">
        <v>45986.4</v>
      </c>
      <c r="AG22" s="26">
        <f t="shared" si="2"/>
        <v>45986.4</v>
      </c>
      <c r="AH22" s="80">
        <f>3999.8+17354</f>
        <v>21353.8</v>
      </c>
      <c r="AI22" s="22">
        <f t="shared" si="1"/>
        <v>46.43503296626829</v>
      </c>
    </row>
    <row r="23" spans="1:35" s="55" customFormat="1" ht="37.5">
      <c r="A23" s="46"/>
      <c r="B23" s="58" t="s">
        <v>154</v>
      </c>
      <c r="C23" s="47"/>
      <c r="D23" s="93" t="s">
        <v>195</v>
      </c>
      <c r="E23" s="94"/>
      <c r="F23" s="94"/>
      <c r="G23" s="94"/>
      <c r="H23" s="94"/>
      <c r="I23" s="94"/>
      <c r="J23" s="95"/>
      <c r="K23" s="95"/>
      <c r="L23" s="95"/>
      <c r="M23" s="95"/>
      <c r="N23" s="95"/>
      <c r="O23" s="95"/>
      <c r="P23" s="95"/>
      <c r="Q23" s="96"/>
      <c r="R23" s="96"/>
      <c r="S23" s="97"/>
      <c r="T23" s="98"/>
      <c r="U23" s="98"/>
      <c r="V23" s="98"/>
      <c r="W23" s="98"/>
      <c r="X23" s="96"/>
      <c r="Y23" s="96"/>
      <c r="Z23" s="96"/>
      <c r="AA23" s="96"/>
      <c r="AB23" s="52"/>
      <c r="AC23" s="99"/>
      <c r="AD23" s="79">
        <f t="shared" si="0"/>
        <v>72000</v>
      </c>
      <c r="AE23" s="54"/>
      <c r="AF23" s="242">
        <v>72000</v>
      </c>
      <c r="AG23" s="26">
        <f t="shared" si="2"/>
        <v>72000</v>
      </c>
      <c r="AH23" s="80">
        <f>5999.8+22572</f>
        <v>28571.8</v>
      </c>
      <c r="AI23" s="22">
        <f t="shared" si="1"/>
        <v>39.683055555555555</v>
      </c>
    </row>
    <row r="24" spans="1:35" s="55" customFormat="1" ht="37.5">
      <c r="A24" s="46"/>
      <c r="B24" s="58" t="s">
        <v>0</v>
      </c>
      <c r="C24" s="47"/>
      <c r="D24" s="93" t="s">
        <v>196</v>
      </c>
      <c r="E24" s="94"/>
      <c r="F24" s="94"/>
      <c r="G24" s="94"/>
      <c r="H24" s="94"/>
      <c r="I24" s="94"/>
      <c r="J24" s="95"/>
      <c r="K24" s="95"/>
      <c r="L24" s="95"/>
      <c r="M24" s="95"/>
      <c r="N24" s="95"/>
      <c r="O24" s="95"/>
      <c r="P24" s="95"/>
      <c r="Q24" s="96"/>
      <c r="R24" s="96"/>
      <c r="S24" s="97"/>
      <c r="T24" s="98"/>
      <c r="U24" s="98"/>
      <c r="V24" s="98"/>
      <c r="W24" s="98"/>
      <c r="X24" s="96"/>
      <c r="Y24" s="96"/>
      <c r="Z24" s="96"/>
      <c r="AA24" s="96"/>
      <c r="AB24" s="52"/>
      <c r="AC24" s="99"/>
      <c r="AD24" s="79">
        <f t="shared" si="0"/>
        <v>72000</v>
      </c>
      <c r="AE24" s="54"/>
      <c r="AF24" s="242">
        <v>72000</v>
      </c>
      <c r="AG24" s="26">
        <f t="shared" si="2"/>
        <v>72000</v>
      </c>
      <c r="AH24" s="80">
        <f>5999.8+22572</f>
        <v>28571.8</v>
      </c>
      <c r="AI24" s="22">
        <f t="shared" si="1"/>
        <v>39.683055555555555</v>
      </c>
    </row>
    <row r="25" spans="1:35" s="55" customFormat="1" ht="37.5">
      <c r="A25" s="46"/>
      <c r="B25" s="58" t="s">
        <v>1</v>
      </c>
      <c r="C25" s="47"/>
      <c r="D25" s="100" t="s">
        <v>205</v>
      </c>
      <c r="E25" s="94"/>
      <c r="F25" s="94"/>
      <c r="G25" s="94"/>
      <c r="H25" s="94"/>
      <c r="I25" s="94"/>
      <c r="J25" s="95"/>
      <c r="K25" s="95"/>
      <c r="L25" s="95"/>
      <c r="M25" s="95"/>
      <c r="N25" s="95"/>
      <c r="O25" s="95"/>
      <c r="P25" s="95"/>
      <c r="Q25" s="96"/>
      <c r="R25" s="96"/>
      <c r="S25" s="97"/>
      <c r="T25" s="98"/>
      <c r="U25" s="98"/>
      <c r="V25" s="98"/>
      <c r="W25" s="98"/>
      <c r="X25" s="96"/>
      <c r="Y25" s="96"/>
      <c r="Z25" s="96"/>
      <c r="AA25" s="96"/>
      <c r="AB25" s="52"/>
      <c r="AC25" s="99"/>
      <c r="AD25" s="79">
        <f t="shared" si="0"/>
        <v>132857.8</v>
      </c>
      <c r="AE25" s="54"/>
      <c r="AF25" s="242">
        <v>132857.8</v>
      </c>
      <c r="AG25" s="26">
        <f t="shared" si="2"/>
        <v>132857.8</v>
      </c>
      <c r="AH25" s="80">
        <f>7999.8+50602</f>
        <v>58601.8</v>
      </c>
      <c r="AI25" s="22">
        <f t="shared" si="1"/>
        <v>44.1086635485459</v>
      </c>
    </row>
    <row r="26" spans="1:35" s="55" customFormat="1" ht="37.5">
      <c r="A26" s="46"/>
      <c r="B26" s="58" t="s">
        <v>2</v>
      </c>
      <c r="C26" s="47"/>
      <c r="D26" s="100" t="s">
        <v>206</v>
      </c>
      <c r="E26" s="94"/>
      <c r="F26" s="94"/>
      <c r="G26" s="94"/>
      <c r="H26" s="94"/>
      <c r="I26" s="94"/>
      <c r="J26" s="95"/>
      <c r="K26" s="95"/>
      <c r="L26" s="95"/>
      <c r="M26" s="95"/>
      <c r="N26" s="95"/>
      <c r="O26" s="95"/>
      <c r="P26" s="95"/>
      <c r="Q26" s="96"/>
      <c r="R26" s="96"/>
      <c r="S26" s="97"/>
      <c r="T26" s="98"/>
      <c r="U26" s="98"/>
      <c r="V26" s="98"/>
      <c r="W26" s="98"/>
      <c r="X26" s="96"/>
      <c r="Y26" s="96"/>
      <c r="Z26" s="96"/>
      <c r="AA26" s="96"/>
      <c r="AB26" s="52"/>
      <c r="AC26" s="99"/>
      <c r="AD26" s="79">
        <f t="shared" si="0"/>
        <v>238000</v>
      </c>
      <c r="AE26" s="54"/>
      <c r="AF26" s="242">
        <v>238000</v>
      </c>
      <c r="AG26" s="26">
        <f t="shared" si="2"/>
        <v>238000</v>
      </c>
      <c r="AH26" s="80">
        <v>6699.6</v>
      </c>
      <c r="AI26" s="22">
        <f t="shared" si="1"/>
        <v>2.814957983193277</v>
      </c>
    </row>
    <row r="27" spans="1:35" s="55" customFormat="1" ht="37.5">
      <c r="A27" s="46"/>
      <c r="B27" s="58" t="s">
        <v>3</v>
      </c>
      <c r="C27" s="47"/>
      <c r="D27" s="100" t="s">
        <v>207</v>
      </c>
      <c r="E27" s="94"/>
      <c r="F27" s="94"/>
      <c r="G27" s="94"/>
      <c r="H27" s="94"/>
      <c r="I27" s="94"/>
      <c r="J27" s="95"/>
      <c r="K27" s="95"/>
      <c r="L27" s="95"/>
      <c r="M27" s="95"/>
      <c r="N27" s="95"/>
      <c r="O27" s="95"/>
      <c r="P27" s="95"/>
      <c r="Q27" s="96"/>
      <c r="R27" s="96"/>
      <c r="S27" s="97"/>
      <c r="T27" s="98"/>
      <c r="U27" s="98"/>
      <c r="V27" s="98"/>
      <c r="W27" s="98"/>
      <c r="X27" s="96"/>
      <c r="Y27" s="96"/>
      <c r="Z27" s="96"/>
      <c r="AA27" s="96"/>
      <c r="AB27" s="52"/>
      <c r="AC27" s="99"/>
      <c r="AD27" s="79">
        <f t="shared" si="0"/>
        <v>238000</v>
      </c>
      <c r="AE27" s="54"/>
      <c r="AF27" s="242">
        <v>238000</v>
      </c>
      <c r="AG27" s="26">
        <f t="shared" si="2"/>
        <v>238000</v>
      </c>
      <c r="AH27" s="80">
        <v>6699.6</v>
      </c>
      <c r="AI27" s="22">
        <f t="shared" si="1"/>
        <v>2.814957983193277</v>
      </c>
    </row>
    <row r="28" spans="1:35" s="55" customFormat="1" ht="37.5">
      <c r="A28" s="46"/>
      <c r="B28" s="58" t="s">
        <v>4</v>
      </c>
      <c r="C28" s="47"/>
      <c r="D28" s="100" t="s">
        <v>208</v>
      </c>
      <c r="E28" s="94"/>
      <c r="F28" s="94"/>
      <c r="G28" s="94"/>
      <c r="H28" s="94"/>
      <c r="I28" s="94"/>
      <c r="J28" s="95"/>
      <c r="K28" s="95"/>
      <c r="L28" s="95"/>
      <c r="M28" s="95"/>
      <c r="N28" s="95"/>
      <c r="O28" s="95"/>
      <c r="P28" s="95"/>
      <c r="Q28" s="96"/>
      <c r="R28" s="96"/>
      <c r="S28" s="97"/>
      <c r="T28" s="98"/>
      <c r="U28" s="98"/>
      <c r="V28" s="98"/>
      <c r="W28" s="98"/>
      <c r="X28" s="96"/>
      <c r="Y28" s="96"/>
      <c r="Z28" s="96"/>
      <c r="AA28" s="96"/>
      <c r="AB28" s="52"/>
      <c r="AC28" s="99"/>
      <c r="AD28" s="79">
        <f t="shared" si="0"/>
        <v>216000</v>
      </c>
      <c r="AE28" s="54"/>
      <c r="AF28" s="242">
        <v>216000</v>
      </c>
      <c r="AG28" s="26">
        <f t="shared" si="2"/>
        <v>216000</v>
      </c>
      <c r="AH28" s="80">
        <v>147816.96</v>
      </c>
      <c r="AI28" s="22">
        <f t="shared" si="1"/>
        <v>68.43377777777778</v>
      </c>
    </row>
    <row r="29" spans="1:35" s="55" customFormat="1" ht="37.5">
      <c r="A29" s="46"/>
      <c r="B29" s="58" t="s">
        <v>5</v>
      </c>
      <c r="C29" s="47"/>
      <c r="D29" s="100" t="s">
        <v>209</v>
      </c>
      <c r="E29" s="94"/>
      <c r="F29" s="94"/>
      <c r="G29" s="94"/>
      <c r="H29" s="94"/>
      <c r="I29" s="94"/>
      <c r="J29" s="95"/>
      <c r="K29" s="95"/>
      <c r="L29" s="95"/>
      <c r="M29" s="95"/>
      <c r="N29" s="95"/>
      <c r="O29" s="95"/>
      <c r="P29" s="95"/>
      <c r="Q29" s="96"/>
      <c r="R29" s="96"/>
      <c r="S29" s="97"/>
      <c r="T29" s="98"/>
      <c r="U29" s="98"/>
      <c r="V29" s="98"/>
      <c r="W29" s="98"/>
      <c r="X29" s="96"/>
      <c r="Y29" s="96"/>
      <c r="Z29" s="96"/>
      <c r="AA29" s="96"/>
      <c r="AB29" s="52"/>
      <c r="AC29" s="99"/>
      <c r="AD29" s="79">
        <f t="shared" si="0"/>
        <v>216000</v>
      </c>
      <c r="AE29" s="54"/>
      <c r="AF29" s="242">
        <v>216000</v>
      </c>
      <c r="AG29" s="26">
        <f t="shared" si="2"/>
        <v>216000</v>
      </c>
      <c r="AH29" s="80">
        <v>147816.96</v>
      </c>
      <c r="AI29" s="22">
        <f t="shared" si="1"/>
        <v>68.43377777777778</v>
      </c>
    </row>
    <row r="30" spans="1:35" s="55" customFormat="1" ht="37.5">
      <c r="A30" s="46"/>
      <c r="B30" s="58" t="s">
        <v>6</v>
      </c>
      <c r="C30" s="47"/>
      <c r="D30" s="100" t="s">
        <v>210</v>
      </c>
      <c r="E30" s="94"/>
      <c r="F30" s="94"/>
      <c r="G30" s="94"/>
      <c r="H30" s="94"/>
      <c r="I30" s="94"/>
      <c r="J30" s="95"/>
      <c r="K30" s="95"/>
      <c r="L30" s="95"/>
      <c r="M30" s="95"/>
      <c r="N30" s="95"/>
      <c r="O30" s="95"/>
      <c r="P30" s="95"/>
      <c r="Q30" s="96"/>
      <c r="R30" s="96"/>
      <c r="S30" s="97"/>
      <c r="T30" s="98"/>
      <c r="U30" s="98"/>
      <c r="V30" s="98"/>
      <c r="W30" s="98"/>
      <c r="X30" s="96"/>
      <c r="Y30" s="96"/>
      <c r="Z30" s="96"/>
      <c r="AA30" s="96"/>
      <c r="AB30" s="52"/>
      <c r="AC30" s="99"/>
      <c r="AD30" s="79">
        <f t="shared" si="0"/>
        <v>213000</v>
      </c>
      <c r="AE30" s="54"/>
      <c r="AF30" s="242">
        <v>213000</v>
      </c>
      <c r="AG30" s="26">
        <f t="shared" si="2"/>
        <v>213000</v>
      </c>
      <c r="AH30" s="80">
        <v>145176.56</v>
      </c>
      <c r="AI30" s="22">
        <f t="shared" si="1"/>
        <v>68.15800938967136</v>
      </c>
    </row>
    <row r="31" spans="1:35" s="55" customFormat="1" ht="37.5">
      <c r="A31" s="46"/>
      <c r="B31" s="58" t="s">
        <v>7</v>
      </c>
      <c r="C31" s="47"/>
      <c r="D31" s="100" t="s">
        <v>211</v>
      </c>
      <c r="E31" s="94"/>
      <c r="F31" s="94"/>
      <c r="G31" s="94"/>
      <c r="H31" s="94"/>
      <c r="I31" s="94"/>
      <c r="J31" s="95"/>
      <c r="K31" s="95"/>
      <c r="L31" s="95"/>
      <c r="M31" s="95"/>
      <c r="N31" s="95"/>
      <c r="O31" s="95"/>
      <c r="P31" s="95"/>
      <c r="Q31" s="96"/>
      <c r="R31" s="96"/>
      <c r="S31" s="97"/>
      <c r="T31" s="98"/>
      <c r="U31" s="98"/>
      <c r="V31" s="98"/>
      <c r="W31" s="98"/>
      <c r="X31" s="96"/>
      <c r="Y31" s="96"/>
      <c r="Z31" s="96"/>
      <c r="AA31" s="96"/>
      <c r="AB31" s="52"/>
      <c r="AC31" s="99"/>
      <c r="AD31" s="79">
        <f t="shared" si="0"/>
        <v>352000</v>
      </c>
      <c r="AE31" s="54"/>
      <c r="AF31" s="242">
        <v>352000</v>
      </c>
      <c r="AG31" s="26">
        <f t="shared" si="2"/>
        <v>352000</v>
      </c>
      <c r="AH31" s="80">
        <v>241526.76</v>
      </c>
      <c r="AI31" s="22">
        <f t="shared" si="1"/>
        <v>68.61555681818182</v>
      </c>
    </row>
    <row r="32" spans="1:35" s="55" customFormat="1" ht="37.5">
      <c r="A32" s="46"/>
      <c r="B32" s="58" t="s">
        <v>8</v>
      </c>
      <c r="C32" s="47"/>
      <c r="D32" s="100" t="s">
        <v>212</v>
      </c>
      <c r="E32" s="94"/>
      <c r="F32" s="94"/>
      <c r="G32" s="94"/>
      <c r="H32" s="94"/>
      <c r="I32" s="94"/>
      <c r="J32" s="95"/>
      <c r="K32" s="95"/>
      <c r="L32" s="95"/>
      <c r="M32" s="95"/>
      <c r="N32" s="95"/>
      <c r="O32" s="95"/>
      <c r="P32" s="95"/>
      <c r="Q32" s="96"/>
      <c r="R32" s="96"/>
      <c r="S32" s="97"/>
      <c r="T32" s="98"/>
      <c r="U32" s="98"/>
      <c r="V32" s="98"/>
      <c r="W32" s="98"/>
      <c r="X32" s="96"/>
      <c r="Y32" s="96"/>
      <c r="Z32" s="96"/>
      <c r="AA32" s="96"/>
      <c r="AB32" s="52"/>
      <c r="AC32" s="99"/>
      <c r="AD32" s="79">
        <f t="shared" si="0"/>
        <v>121000</v>
      </c>
      <c r="AE32" s="54"/>
      <c r="AF32" s="242">
        <v>121000</v>
      </c>
      <c r="AG32" s="26">
        <f t="shared" si="2"/>
        <v>121000</v>
      </c>
      <c r="AH32" s="80">
        <v>83493.72</v>
      </c>
      <c r="AI32" s="22">
        <f t="shared" si="1"/>
        <v>69.00307438016529</v>
      </c>
    </row>
    <row r="33" spans="1:35" s="55" customFormat="1" ht="37.5">
      <c r="A33" s="46"/>
      <c r="B33" s="58"/>
      <c r="C33" s="47"/>
      <c r="D33" s="101" t="s">
        <v>231</v>
      </c>
      <c r="E33" s="94"/>
      <c r="F33" s="94"/>
      <c r="G33" s="94"/>
      <c r="H33" s="94"/>
      <c r="I33" s="94"/>
      <c r="J33" s="95"/>
      <c r="K33" s="95"/>
      <c r="L33" s="95"/>
      <c r="M33" s="95"/>
      <c r="N33" s="95"/>
      <c r="O33" s="95"/>
      <c r="P33" s="95"/>
      <c r="Q33" s="96"/>
      <c r="R33" s="96"/>
      <c r="S33" s="97"/>
      <c r="T33" s="98"/>
      <c r="U33" s="98"/>
      <c r="V33" s="98"/>
      <c r="W33" s="98"/>
      <c r="X33" s="96"/>
      <c r="Y33" s="96"/>
      <c r="Z33" s="96"/>
      <c r="AA33" s="96"/>
      <c r="AB33" s="52"/>
      <c r="AC33" s="99"/>
      <c r="AD33" s="79">
        <f t="shared" si="0"/>
        <v>92000</v>
      </c>
      <c r="AE33" s="54"/>
      <c r="AF33" s="242">
        <v>92000</v>
      </c>
      <c r="AG33" s="26">
        <f t="shared" si="2"/>
        <v>92000</v>
      </c>
      <c r="AH33" s="85"/>
      <c r="AI33" s="22">
        <f t="shared" si="1"/>
        <v>0</v>
      </c>
    </row>
    <row r="34" spans="1:35" s="55" customFormat="1" ht="37.5">
      <c r="A34" s="46"/>
      <c r="B34" s="58"/>
      <c r="C34" s="47"/>
      <c r="D34" s="101" t="s">
        <v>232</v>
      </c>
      <c r="E34" s="94"/>
      <c r="F34" s="94"/>
      <c r="G34" s="94"/>
      <c r="H34" s="94"/>
      <c r="I34" s="94"/>
      <c r="J34" s="95"/>
      <c r="K34" s="95"/>
      <c r="L34" s="95"/>
      <c r="M34" s="95"/>
      <c r="N34" s="95"/>
      <c r="O34" s="95"/>
      <c r="P34" s="95"/>
      <c r="Q34" s="96"/>
      <c r="R34" s="96"/>
      <c r="S34" s="97"/>
      <c r="T34" s="98"/>
      <c r="U34" s="98"/>
      <c r="V34" s="98"/>
      <c r="W34" s="98"/>
      <c r="X34" s="96"/>
      <c r="Y34" s="96"/>
      <c r="Z34" s="96"/>
      <c r="AA34" s="96"/>
      <c r="AB34" s="52"/>
      <c r="AC34" s="99"/>
      <c r="AD34" s="79">
        <f t="shared" si="0"/>
        <v>112000</v>
      </c>
      <c r="AE34" s="54"/>
      <c r="AF34" s="242">
        <v>112000</v>
      </c>
      <c r="AG34" s="26">
        <f t="shared" si="2"/>
        <v>112000</v>
      </c>
      <c r="AH34" s="85"/>
      <c r="AI34" s="22">
        <f t="shared" si="1"/>
        <v>0</v>
      </c>
    </row>
    <row r="35" spans="1:35" s="55" customFormat="1" ht="56.25">
      <c r="A35" s="46"/>
      <c r="B35" s="58" t="s">
        <v>9</v>
      </c>
      <c r="C35" s="47"/>
      <c r="D35" s="101" t="s">
        <v>236</v>
      </c>
      <c r="E35" s="94"/>
      <c r="F35" s="94"/>
      <c r="G35" s="94"/>
      <c r="H35" s="94"/>
      <c r="I35" s="94"/>
      <c r="J35" s="95"/>
      <c r="K35" s="95"/>
      <c r="L35" s="95"/>
      <c r="M35" s="95"/>
      <c r="N35" s="95"/>
      <c r="O35" s="95"/>
      <c r="P35" s="95"/>
      <c r="Q35" s="96"/>
      <c r="R35" s="96"/>
      <c r="S35" s="97"/>
      <c r="T35" s="98"/>
      <c r="U35" s="98"/>
      <c r="V35" s="98"/>
      <c r="W35" s="98"/>
      <c r="X35" s="96"/>
      <c r="Y35" s="96"/>
      <c r="Z35" s="96"/>
      <c r="AA35" s="96"/>
      <c r="AB35" s="52"/>
      <c r="AC35" s="99"/>
      <c r="AD35" s="79">
        <f t="shared" si="0"/>
        <v>30000</v>
      </c>
      <c r="AE35" s="54"/>
      <c r="AF35" s="242">
        <v>30000</v>
      </c>
      <c r="AG35" s="26">
        <f t="shared" si="2"/>
        <v>30000</v>
      </c>
      <c r="AH35" s="86"/>
      <c r="AI35" s="22">
        <f t="shared" si="1"/>
        <v>0</v>
      </c>
    </row>
    <row r="36" spans="1:35" s="55" customFormat="1" ht="56.25">
      <c r="A36" s="46"/>
      <c r="B36" s="58" t="s">
        <v>10</v>
      </c>
      <c r="C36" s="47"/>
      <c r="D36" s="101" t="s">
        <v>235</v>
      </c>
      <c r="E36" s="94"/>
      <c r="F36" s="94"/>
      <c r="G36" s="94"/>
      <c r="H36" s="94"/>
      <c r="I36" s="94"/>
      <c r="J36" s="95"/>
      <c r="K36" s="95"/>
      <c r="L36" s="95"/>
      <c r="M36" s="95"/>
      <c r="N36" s="95"/>
      <c r="O36" s="95"/>
      <c r="P36" s="95"/>
      <c r="Q36" s="96"/>
      <c r="R36" s="96"/>
      <c r="S36" s="97"/>
      <c r="T36" s="98"/>
      <c r="U36" s="98"/>
      <c r="V36" s="98"/>
      <c r="W36" s="98"/>
      <c r="X36" s="96"/>
      <c r="Y36" s="96"/>
      <c r="Z36" s="96"/>
      <c r="AA36" s="96"/>
      <c r="AB36" s="52"/>
      <c r="AC36" s="99"/>
      <c r="AD36" s="79">
        <f t="shared" si="0"/>
        <v>50000</v>
      </c>
      <c r="AE36" s="54"/>
      <c r="AF36" s="242">
        <v>50000</v>
      </c>
      <c r="AG36" s="26">
        <f t="shared" si="2"/>
        <v>50000</v>
      </c>
      <c r="AH36" s="86"/>
      <c r="AI36" s="22">
        <f t="shared" si="1"/>
        <v>0</v>
      </c>
    </row>
    <row r="37" spans="1:35" s="55" customFormat="1" ht="75">
      <c r="A37" s="46"/>
      <c r="B37" s="58" t="s">
        <v>11</v>
      </c>
      <c r="C37" s="47"/>
      <c r="D37" s="101" t="s">
        <v>226</v>
      </c>
      <c r="E37" s="94"/>
      <c r="F37" s="94"/>
      <c r="G37" s="94"/>
      <c r="H37" s="94"/>
      <c r="I37" s="94"/>
      <c r="J37" s="95"/>
      <c r="K37" s="95"/>
      <c r="L37" s="95"/>
      <c r="M37" s="95"/>
      <c r="N37" s="95"/>
      <c r="O37" s="95"/>
      <c r="P37" s="95"/>
      <c r="Q37" s="96"/>
      <c r="R37" s="96"/>
      <c r="S37" s="97"/>
      <c r="T37" s="98"/>
      <c r="U37" s="98"/>
      <c r="V37" s="98"/>
      <c r="W37" s="98"/>
      <c r="X37" s="96"/>
      <c r="Y37" s="96"/>
      <c r="Z37" s="96"/>
      <c r="AA37" s="96"/>
      <c r="AB37" s="52"/>
      <c r="AC37" s="99"/>
      <c r="AD37" s="79">
        <f t="shared" si="0"/>
        <v>287000</v>
      </c>
      <c r="AE37" s="54"/>
      <c r="AF37" s="242">
        <v>287000</v>
      </c>
      <c r="AG37" s="26">
        <f t="shared" si="2"/>
        <v>287000</v>
      </c>
      <c r="AH37" s="86"/>
      <c r="AI37" s="22">
        <f t="shared" si="1"/>
        <v>0</v>
      </c>
    </row>
    <row r="38" spans="1:35" s="55" customFormat="1" ht="37.5">
      <c r="A38" s="46"/>
      <c r="B38" s="58" t="s">
        <v>12</v>
      </c>
      <c r="C38" s="47"/>
      <c r="D38" s="101" t="s">
        <v>182</v>
      </c>
      <c r="E38" s="94"/>
      <c r="F38" s="94"/>
      <c r="G38" s="94"/>
      <c r="H38" s="94"/>
      <c r="I38" s="94"/>
      <c r="J38" s="95"/>
      <c r="K38" s="95"/>
      <c r="L38" s="95"/>
      <c r="M38" s="95"/>
      <c r="N38" s="95"/>
      <c r="O38" s="95"/>
      <c r="P38" s="95"/>
      <c r="Q38" s="96"/>
      <c r="R38" s="96"/>
      <c r="S38" s="97"/>
      <c r="T38" s="98"/>
      <c r="U38" s="98"/>
      <c r="V38" s="98"/>
      <c r="W38" s="98"/>
      <c r="X38" s="96"/>
      <c r="Y38" s="96"/>
      <c r="Z38" s="96"/>
      <c r="AA38" s="96"/>
      <c r="AB38" s="52"/>
      <c r="AC38" s="99"/>
      <c r="AD38" s="79">
        <f t="shared" si="0"/>
        <v>20000</v>
      </c>
      <c r="AE38" s="54"/>
      <c r="AF38" s="242">
        <v>20000</v>
      </c>
      <c r="AG38" s="26">
        <f t="shared" si="2"/>
        <v>20000</v>
      </c>
      <c r="AH38" s="87">
        <f>19998.84</f>
        <v>19998.84</v>
      </c>
      <c r="AI38" s="22">
        <f t="shared" si="1"/>
        <v>99.9942</v>
      </c>
    </row>
    <row r="39" spans="1:35" s="55" customFormat="1" ht="37.5">
      <c r="A39" s="46"/>
      <c r="B39" s="58" t="s">
        <v>13</v>
      </c>
      <c r="C39" s="47"/>
      <c r="D39" s="101" t="s">
        <v>183</v>
      </c>
      <c r="E39" s="94"/>
      <c r="F39" s="94"/>
      <c r="G39" s="94"/>
      <c r="H39" s="94"/>
      <c r="I39" s="94"/>
      <c r="J39" s="95"/>
      <c r="K39" s="95"/>
      <c r="L39" s="95"/>
      <c r="M39" s="95"/>
      <c r="N39" s="95"/>
      <c r="O39" s="95"/>
      <c r="P39" s="95"/>
      <c r="Q39" s="96"/>
      <c r="R39" s="96"/>
      <c r="S39" s="97"/>
      <c r="T39" s="98"/>
      <c r="U39" s="98"/>
      <c r="V39" s="98"/>
      <c r="W39" s="98"/>
      <c r="X39" s="96"/>
      <c r="Y39" s="96"/>
      <c r="Z39" s="96"/>
      <c r="AA39" s="96"/>
      <c r="AB39" s="52"/>
      <c r="AC39" s="99"/>
      <c r="AD39" s="79">
        <f t="shared" si="0"/>
        <v>2087910</v>
      </c>
      <c r="AE39" s="54"/>
      <c r="AF39" s="241">
        <v>2087910</v>
      </c>
      <c r="AG39" s="26">
        <f t="shared" si="2"/>
        <v>2087910</v>
      </c>
      <c r="AH39" s="26">
        <v>1197198.45</v>
      </c>
      <c r="AI39" s="22">
        <f t="shared" si="1"/>
        <v>57.33956205008837</v>
      </c>
    </row>
    <row r="40" spans="1:35" s="55" customFormat="1" ht="37.5">
      <c r="A40" s="46"/>
      <c r="B40" s="58" t="s">
        <v>14</v>
      </c>
      <c r="C40" s="47"/>
      <c r="D40" s="102" t="s">
        <v>184</v>
      </c>
      <c r="E40" s="94"/>
      <c r="F40" s="94"/>
      <c r="G40" s="94"/>
      <c r="H40" s="94"/>
      <c r="I40" s="94"/>
      <c r="J40" s="95"/>
      <c r="K40" s="95"/>
      <c r="L40" s="95"/>
      <c r="M40" s="95"/>
      <c r="N40" s="95"/>
      <c r="O40" s="95"/>
      <c r="P40" s="95"/>
      <c r="Q40" s="96"/>
      <c r="R40" s="96"/>
      <c r="S40" s="97"/>
      <c r="T40" s="98"/>
      <c r="U40" s="98"/>
      <c r="V40" s="98"/>
      <c r="W40" s="98"/>
      <c r="X40" s="96"/>
      <c r="Y40" s="96"/>
      <c r="Z40" s="96"/>
      <c r="AA40" s="96"/>
      <c r="AB40" s="52"/>
      <c r="AC40" s="99"/>
      <c r="AD40" s="79">
        <f t="shared" si="0"/>
        <v>366158.6</v>
      </c>
      <c r="AE40" s="54"/>
      <c r="AF40" s="241">
        <v>366158.6</v>
      </c>
      <c r="AG40" s="26">
        <f t="shared" si="2"/>
        <v>366158.6</v>
      </c>
      <c r="AH40" s="26">
        <f>232868+127807.6+5483</f>
        <v>366158.6</v>
      </c>
      <c r="AI40" s="22">
        <f t="shared" si="1"/>
        <v>100</v>
      </c>
    </row>
    <row r="41" spans="1:35" s="55" customFormat="1" ht="37.5">
      <c r="A41" s="46"/>
      <c r="B41" s="58" t="s">
        <v>15</v>
      </c>
      <c r="C41" s="47"/>
      <c r="D41" s="102" t="s">
        <v>185</v>
      </c>
      <c r="E41" s="94"/>
      <c r="F41" s="94"/>
      <c r="G41" s="94"/>
      <c r="H41" s="94"/>
      <c r="I41" s="94"/>
      <c r="J41" s="95"/>
      <c r="K41" s="95"/>
      <c r="L41" s="95"/>
      <c r="M41" s="95"/>
      <c r="N41" s="95"/>
      <c r="O41" s="95"/>
      <c r="P41" s="95"/>
      <c r="Q41" s="96"/>
      <c r="R41" s="96"/>
      <c r="S41" s="97"/>
      <c r="T41" s="98"/>
      <c r="U41" s="98"/>
      <c r="V41" s="98"/>
      <c r="W41" s="98"/>
      <c r="X41" s="96"/>
      <c r="Y41" s="96"/>
      <c r="Z41" s="96"/>
      <c r="AA41" s="96"/>
      <c r="AB41" s="52"/>
      <c r="AC41" s="99"/>
      <c r="AD41" s="79">
        <f t="shared" si="0"/>
        <v>350000</v>
      </c>
      <c r="AE41" s="54"/>
      <c r="AF41" s="241">
        <v>350000</v>
      </c>
      <c r="AG41" s="26">
        <f t="shared" si="2"/>
        <v>350000</v>
      </c>
      <c r="AH41" s="24"/>
      <c r="AI41" s="22">
        <f t="shared" si="1"/>
        <v>0</v>
      </c>
    </row>
    <row r="42" spans="1:35" s="55" customFormat="1" ht="37.5">
      <c r="A42" s="46"/>
      <c r="B42" s="58" t="s">
        <v>16</v>
      </c>
      <c r="C42" s="47"/>
      <c r="D42" s="102" t="s">
        <v>186</v>
      </c>
      <c r="E42" s="94"/>
      <c r="F42" s="94"/>
      <c r="G42" s="94"/>
      <c r="H42" s="94"/>
      <c r="I42" s="94"/>
      <c r="J42" s="95"/>
      <c r="K42" s="95"/>
      <c r="L42" s="95"/>
      <c r="M42" s="95"/>
      <c r="N42" s="95"/>
      <c r="O42" s="95"/>
      <c r="P42" s="95"/>
      <c r="Q42" s="96"/>
      <c r="R42" s="96"/>
      <c r="S42" s="97"/>
      <c r="T42" s="98"/>
      <c r="U42" s="98"/>
      <c r="V42" s="98"/>
      <c r="W42" s="98"/>
      <c r="X42" s="96"/>
      <c r="Y42" s="96"/>
      <c r="Z42" s="96"/>
      <c r="AA42" s="96"/>
      <c r="AB42" s="52"/>
      <c r="AC42" s="99"/>
      <c r="AD42" s="79">
        <f t="shared" si="0"/>
        <v>218557.2</v>
      </c>
      <c r="AE42" s="54"/>
      <c r="AF42" s="241">
        <v>218557.2</v>
      </c>
      <c r="AG42" s="26">
        <f t="shared" si="2"/>
        <v>218557.2</v>
      </c>
      <c r="AH42" s="26">
        <f>149555.88+63567.72+5164.8</f>
        <v>218288.4</v>
      </c>
      <c r="AI42" s="22">
        <f t="shared" si="1"/>
        <v>99.87701160153955</v>
      </c>
    </row>
    <row r="43" spans="1:35" s="55" customFormat="1" ht="37.5">
      <c r="A43" s="46"/>
      <c r="B43" s="58" t="s">
        <v>17</v>
      </c>
      <c r="C43" s="47"/>
      <c r="D43" s="102" t="s">
        <v>233</v>
      </c>
      <c r="E43" s="94"/>
      <c r="F43" s="94"/>
      <c r="G43" s="94"/>
      <c r="H43" s="94"/>
      <c r="I43" s="94"/>
      <c r="J43" s="95"/>
      <c r="K43" s="95"/>
      <c r="L43" s="95"/>
      <c r="M43" s="95"/>
      <c r="N43" s="95"/>
      <c r="O43" s="95"/>
      <c r="P43" s="95"/>
      <c r="Q43" s="96"/>
      <c r="R43" s="96"/>
      <c r="S43" s="97"/>
      <c r="T43" s="98"/>
      <c r="U43" s="98"/>
      <c r="V43" s="98"/>
      <c r="W43" s="98"/>
      <c r="X43" s="96"/>
      <c r="Y43" s="96"/>
      <c r="Z43" s="96"/>
      <c r="AA43" s="96"/>
      <c r="AB43" s="52"/>
      <c r="AC43" s="99"/>
      <c r="AD43" s="79">
        <f t="shared" si="0"/>
        <v>595000</v>
      </c>
      <c r="AE43" s="54"/>
      <c r="AF43" s="241">
        <v>595000</v>
      </c>
      <c r="AG43" s="26">
        <f t="shared" si="2"/>
        <v>595000</v>
      </c>
      <c r="AH43" s="26">
        <f>44069+44069.8</f>
        <v>88138.8</v>
      </c>
      <c r="AI43" s="22">
        <f t="shared" si="1"/>
        <v>14.813243697478992</v>
      </c>
    </row>
    <row r="44" spans="1:35" s="55" customFormat="1" ht="37.5">
      <c r="A44" s="46"/>
      <c r="B44" s="58" t="s">
        <v>18</v>
      </c>
      <c r="C44" s="47"/>
      <c r="D44" s="93" t="s">
        <v>224</v>
      </c>
      <c r="E44" s="94"/>
      <c r="F44" s="94"/>
      <c r="G44" s="94"/>
      <c r="H44" s="94"/>
      <c r="I44" s="94"/>
      <c r="J44" s="95"/>
      <c r="K44" s="95"/>
      <c r="L44" s="95"/>
      <c r="M44" s="95"/>
      <c r="N44" s="95"/>
      <c r="O44" s="95"/>
      <c r="P44" s="95"/>
      <c r="Q44" s="96"/>
      <c r="R44" s="96"/>
      <c r="S44" s="97"/>
      <c r="T44" s="98"/>
      <c r="U44" s="98"/>
      <c r="V44" s="98"/>
      <c r="W44" s="98"/>
      <c r="X44" s="96"/>
      <c r="Y44" s="96"/>
      <c r="Z44" s="96"/>
      <c r="AA44" s="96"/>
      <c r="AB44" s="52"/>
      <c r="AC44" s="99"/>
      <c r="AD44" s="79">
        <f t="shared" si="0"/>
        <v>923000</v>
      </c>
      <c r="AE44" s="54"/>
      <c r="AF44" s="241">
        <v>923000</v>
      </c>
      <c r="AG44" s="26">
        <f t="shared" si="2"/>
        <v>923000</v>
      </c>
      <c r="AH44" s="24"/>
      <c r="AI44" s="22">
        <f t="shared" si="1"/>
        <v>0</v>
      </c>
    </row>
    <row r="45" spans="1:35" s="55" customFormat="1" ht="56.25">
      <c r="A45" s="46"/>
      <c r="B45" s="58" t="s">
        <v>214</v>
      </c>
      <c r="C45" s="47"/>
      <c r="D45" s="93" t="s">
        <v>222</v>
      </c>
      <c r="E45" s="94"/>
      <c r="F45" s="94"/>
      <c r="G45" s="94"/>
      <c r="H45" s="94"/>
      <c r="I45" s="94"/>
      <c r="J45" s="95"/>
      <c r="K45" s="95"/>
      <c r="L45" s="95"/>
      <c r="M45" s="95"/>
      <c r="N45" s="95"/>
      <c r="O45" s="95"/>
      <c r="P45" s="95"/>
      <c r="Q45" s="96"/>
      <c r="R45" s="96"/>
      <c r="S45" s="97"/>
      <c r="T45" s="98"/>
      <c r="U45" s="98"/>
      <c r="V45" s="98"/>
      <c r="W45" s="98"/>
      <c r="X45" s="96"/>
      <c r="Y45" s="96"/>
      <c r="Z45" s="96"/>
      <c r="AA45" s="96"/>
      <c r="AB45" s="52"/>
      <c r="AC45" s="99"/>
      <c r="AD45" s="240">
        <v>220000</v>
      </c>
      <c r="AE45" s="54"/>
      <c r="AF45" s="241">
        <v>220000</v>
      </c>
      <c r="AG45" s="26">
        <f t="shared" si="2"/>
        <v>220000</v>
      </c>
      <c r="AH45" s="26">
        <f>125982.23+1886.88</f>
        <v>127869.11</v>
      </c>
      <c r="AI45" s="22">
        <f t="shared" si="1"/>
        <v>58.122322727272724</v>
      </c>
    </row>
    <row r="46" spans="1:35" s="55" customFormat="1" ht="37.5">
      <c r="A46" s="46"/>
      <c r="B46" s="58" t="s">
        <v>215</v>
      </c>
      <c r="C46" s="47"/>
      <c r="D46" s="93" t="s">
        <v>216</v>
      </c>
      <c r="E46" s="94"/>
      <c r="F46" s="94"/>
      <c r="G46" s="94"/>
      <c r="H46" s="94"/>
      <c r="I46" s="94"/>
      <c r="J46" s="95"/>
      <c r="K46" s="95"/>
      <c r="L46" s="95"/>
      <c r="M46" s="95"/>
      <c r="N46" s="95"/>
      <c r="O46" s="95"/>
      <c r="P46" s="95"/>
      <c r="Q46" s="96"/>
      <c r="R46" s="96"/>
      <c r="S46" s="97"/>
      <c r="T46" s="98"/>
      <c r="U46" s="98"/>
      <c r="V46" s="98"/>
      <c r="W46" s="98"/>
      <c r="X46" s="96"/>
      <c r="Y46" s="96"/>
      <c r="Z46" s="96"/>
      <c r="AA46" s="96"/>
      <c r="AB46" s="52"/>
      <c r="AC46" s="99"/>
      <c r="AD46" s="240">
        <v>60000</v>
      </c>
      <c r="AE46" s="54"/>
      <c r="AF46" s="241">
        <v>60000</v>
      </c>
      <c r="AG46" s="26">
        <f t="shared" si="2"/>
        <v>60000</v>
      </c>
      <c r="AH46" s="24"/>
      <c r="AI46" s="22">
        <f t="shared" si="1"/>
        <v>0</v>
      </c>
    </row>
    <row r="47" spans="1:35" s="55" customFormat="1" ht="37.5">
      <c r="A47" s="46"/>
      <c r="B47" s="58" t="s">
        <v>217</v>
      </c>
      <c r="C47" s="47"/>
      <c r="D47" s="93" t="s">
        <v>239</v>
      </c>
      <c r="E47" s="94"/>
      <c r="F47" s="94"/>
      <c r="G47" s="94"/>
      <c r="H47" s="94"/>
      <c r="I47" s="94"/>
      <c r="J47" s="95"/>
      <c r="K47" s="95"/>
      <c r="L47" s="95"/>
      <c r="M47" s="95"/>
      <c r="N47" s="95"/>
      <c r="O47" s="95"/>
      <c r="P47" s="95"/>
      <c r="Q47" s="96"/>
      <c r="R47" s="96"/>
      <c r="S47" s="97"/>
      <c r="T47" s="98"/>
      <c r="U47" s="98"/>
      <c r="V47" s="98"/>
      <c r="W47" s="98"/>
      <c r="X47" s="96"/>
      <c r="Y47" s="96"/>
      <c r="Z47" s="96"/>
      <c r="AA47" s="96"/>
      <c r="AB47" s="52"/>
      <c r="AC47" s="99"/>
      <c r="AD47" s="240">
        <f>AF47</f>
        <v>534966</v>
      </c>
      <c r="AE47" s="54"/>
      <c r="AF47" s="241">
        <v>534966</v>
      </c>
      <c r="AG47" s="26">
        <f t="shared" si="2"/>
        <v>534966</v>
      </c>
      <c r="AH47" s="24"/>
      <c r="AI47" s="22">
        <f t="shared" si="1"/>
        <v>0</v>
      </c>
    </row>
    <row r="48" spans="1:35" s="55" customFormat="1" ht="37.5">
      <c r="A48" s="46"/>
      <c r="B48" s="58" t="s">
        <v>237</v>
      </c>
      <c r="C48" s="47"/>
      <c r="D48" s="93" t="s">
        <v>240</v>
      </c>
      <c r="E48" s="94"/>
      <c r="F48" s="94"/>
      <c r="G48" s="94"/>
      <c r="H48" s="94"/>
      <c r="I48" s="94"/>
      <c r="J48" s="95"/>
      <c r="K48" s="95"/>
      <c r="L48" s="95"/>
      <c r="M48" s="95"/>
      <c r="N48" s="95"/>
      <c r="O48" s="95"/>
      <c r="P48" s="95"/>
      <c r="Q48" s="96"/>
      <c r="R48" s="96"/>
      <c r="S48" s="97"/>
      <c r="T48" s="98"/>
      <c r="U48" s="98"/>
      <c r="V48" s="98"/>
      <c r="W48" s="98"/>
      <c r="X48" s="96"/>
      <c r="Y48" s="96"/>
      <c r="Z48" s="96"/>
      <c r="AA48" s="96"/>
      <c r="AB48" s="52"/>
      <c r="AC48" s="99"/>
      <c r="AD48" s="240">
        <f>AF48</f>
        <v>50000</v>
      </c>
      <c r="AE48" s="54"/>
      <c r="AF48" s="241">
        <v>50000</v>
      </c>
      <c r="AG48" s="26">
        <f t="shared" si="2"/>
        <v>50000</v>
      </c>
      <c r="AH48" s="24"/>
      <c r="AI48" s="22">
        <f t="shared" si="1"/>
        <v>0</v>
      </c>
    </row>
    <row r="49" spans="1:35" s="55" customFormat="1" ht="37.5">
      <c r="A49" s="46"/>
      <c r="B49" s="58" t="s">
        <v>238</v>
      </c>
      <c r="C49" s="47"/>
      <c r="D49" s="93" t="s">
        <v>181</v>
      </c>
      <c r="E49" s="94"/>
      <c r="F49" s="94"/>
      <c r="G49" s="94"/>
      <c r="H49" s="94"/>
      <c r="I49" s="94"/>
      <c r="J49" s="95"/>
      <c r="K49" s="95"/>
      <c r="L49" s="95"/>
      <c r="M49" s="95"/>
      <c r="N49" s="95"/>
      <c r="O49" s="95"/>
      <c r="P49" s="95"/>
      <c r="Q49" s="96"/>
      <c r="R49" s="96"/>
      <c r="S49" s="97"/>
      <c r="T49" s="98"/>
      <c r="U49" s="98"/>
      <c r="V49" s="98"/>
      <c r="W49" s="98"/>
      <c r="X49" s="96"/>
      <c r="Y49" s="96"/>
      <c r="Z49" s="96"/>
      <c r="AA49" s="96"/>
      <c r="AB49" s="52"/>
      <c r="AC49" s="99"/>
      <c r="AD49" s="240">
        <f aca="true" t="shared" si="3" ref="AD49:AD63">AE49+AF49</f>
        <v>300000</v>
      </c>
      <c r="AE49" s="54"/>
      <c r="AF49" s="241">
        <v>300000</v>
      </c>
      <c r="AG49" s="26">
        <f t="shared" si="2"/>
        <v>300000</v>
      </c>
      <c r="AH49" s="26">
        <v>124434.73</v>
      </c>
      <c r="AI49" s="22">
        <f>AH49/AF49*100</f>
        <v>41.47824333333333</v>
      </c>
    </row>
    <row r="50" spans="1:35" ht="37.5">
      <c r="A50" s="8"/>
      <c r="B50" s="62" t="s">
        <v>19</v>
      </c>
      <c r="C50" s="63"/>
      <c r="D50" s="64" t="s">
        <v>87</v>
      </c>
      <c r="E50" s="65"/>
      <c r="F50" s="65"/>
      <c r="G50" s="66"/>
      <c r="H50" s="65"/>
      <c r="I50" s="65"/>
      <c r="J50" s="67"/>
      <c r="K50" s="67"/>
      <c r="L50" s="67"/>
      <c r="M50" s="67"/>
      <c r="N50" s="67"/>
      <c r="O50" s="67"/>
      <c r="P50" s="67"/>
      <c r="Q50" s="68"/>
      <c r="R50" s="68"/>
      <c r="S50" s="69"/>
      <c r="T50" s="70"/>
      <c r="U50" s="70"/>
      <c r="V50" s="70"/>
      <c r="W50" s="70"/>
      <c r="X50" s="68"/>
      <c r="Y50" s="68"/>
      <c r="Z50" s="68"/>
      <c r="AA50" s="68"/>
      <c r="AB50" s="71"/>
      <c r="AC50" s="72"/>
      <c r="AD50" s="61">
        <f t="shared" si="3"/>
        <v>13200000</v>
      </c>
      <c r="AE50" s="73"/>
      <c r="AF50" s="74">
        <f>AF51</f>
        <v>13200000</v>
      </c>
      <c r="AG50" s="74">
        <f>AG51</f>
        <v>13200000</v>
      </c>
      <c r="AH50" s="74">
        <f>AH51</f>
        <v>2776389.6900000004</v>
      </c>
      <c r="AI50" s="17">
        <f>AH50/AF50*100</f>
        <v>21.03325522727273</v>
      </c>
    </row>
    <row r="51" spans="1:35" ht="60" customHeight="1">
      <c r="A51" s="8"/>
      <c r="B51" s="58" t="s">
        <v>94</v>
      </c>
      <c r="C51" s="41"/>
      <c r="D51" s="59" t="s">
        <v>176</v>
      </c>
      <c r="E51" s="9"/>
      <c r="F51" s="9"/>
      <c r="G51" s="10"/>
      <c r="H51" s="9"/>
      <c r="I51" s="9"/>
      <c r="J51" s="8"/>
      <c r="K51" s="8"/>
      <c r="L51" s="8"/>
      <c r="M51" s="8"/>
      <c r="N51" s="8"/>
      <c r="O51" s="8"/>
      <c r="P51" s="8"/>
      <c r="Q51" s="11"/>
      <c r="R51" s="11"/>
      <c r="S51" s="12"/>
      <c r="T51" s="13"/>
      <c r="U51" s="13"/>
      <c r="V51" s="13"/>
      <c r="W51" s="13"/>
      <c r="X51" s="11"/>
      <c r="Y51" s="11"/>
      <c r="Z51" s="14"/>
      <c r="AA51" s="14"/>
      <c r="AB51" s="42"/>
      <c r="AC51" s="43"/>
      <c r="AD51" s="56">
        <f t="shared" si="3"/>
        <v>13200000</v>
      </c>
      <c r="AE51" s="44"/>
      <c r="AF51" s="60">
        <v>13200000</v>
      </c>
      <c r="AG51" s="26">
        <f>AF51</f>
        <v>13200000</v>
      </c>
      <c r="AH51" s="26">
        <f>1597033.05+196051.8+368320.69+295194.74+260411.81+59377.6</f>
        <v>2776389.6900000004</v>
      </c>
      <c r="AI51" s="22">
        <f>AH51/AF51*100</f>
        <v>21.03325522727273</v>
      </c>
    </row>
    <row r="52" spans="1:35" ht="18.75">
      <c r="A52" s="15">
        <v>4</v>
      </c>
      <c r="B52" s="15" t="s">
        <v>20</v>
      </c>
      <c r="C52" s="16"/>
      <c r="D52" s="103" t="s">
        <v>54</v>
      </c>
      <c r="E52" s="65"/>
      <c r="F52" s="65"/>
      <c r="G52" s="66"/>
      <c r="H52" s="65"/>
      <c r="I52" s="65"/>
      <c r="J52" s="67"/>
      <c r="K52" s="67"/>
      <c r="L52" s="67"/>
      <c r="M52" s="104" t="e">
        <f>M53+M61+M69+M73+#REF!+M79+M80+M84+M87+M91+M98+M60+M101+M102+M103+M104+M105+M106+#REF!+#REF!+M115</f>
        <v>#REF!</v>
      </c>
      <c r="N52" s="104" t="e">
        <f>N53+N61+N69+N73+#REF!+N79+N80+N84+N87+N91+N98+N60+N101+N102+N103+N104+N105+N106+#REF!+#REF!+N115</f>
        <v>#VALUE!</v>
      </c>
      <c r="O52" s="104" t="e">
        <f>O53+O61+O69+O73+#REF!+O79+O80+O84+O87+O91+O98+O60+O101+O102+O103+O104+O105+O106+#REF!+#REF!+O115</f>
        <v>#REF!</v>
      </c>
      <c r="P52" s="105" t="e">
        <f>P53+P61+P69+P73+P78+P84+P87+P96+P98+P101+P102+P103+P104+P105+P106+P115</f>
        <v>#REF!</v>
      </c>
      <c r="Q52" s="104" t="e">
        <f>Q53+Q61+Q69+Q73+#REF!+Q79+Q80+Q84+Q87+Q91+Q98+Q60+Q101+Q102+Q103+Q104+Q105+Q106+#REF!+#REF!+Q115</f>
        <v>#REF!</v>
      </c>
      <c r="R52" s="104" t="e">
        <f>R53+R61+R69+R73+#REF!+R79+R80+R84+R87+R91+R98+R60+R101+R102+R103+R104+R105+R106+#REF!+#REF!+R115</f>
        <v>#REF!</v>
      </c>
      <c r="S52" s="104" t="e">
        <f>S53+S61+S69+S73+#REF!+S79+S80+S84+S87+S91+S98+S60+S101+S102+S103+S104+S105+S106+#REF!+#REF!+S115</f>
        <v>#REF!</v>
      </c>
      <c r="T52" s="104" t="e">
        <f>T53+T61+T69+T73+#REF!+T79+T80+T84+T87+T91+T98+T60+T101+T102+T103+T104+T105+T106+#REF!+#REF!+T115</f>
        <v>#REF!</v>
      </c>
      <c r="U52" s="104" t="e">
        <f>U53+U61+U69+U73+#REF!+U79+U80+U84+U87+U91+U98+U60+U101+U102+U103+U104+U105+U106+#REF!+#REF!+U115</f>
        <v>#REF!</v>
      </c>
      <c r="V52" s="104" t="e">
        <f>V53+V61+V69+V73+#REF!+V79+V80+V84+V87+V91+V98+V60+V101+V102+V103+V104+V105+V106+#REF!+#REF!+V115</f>
        <v>#REF!</v>
      </c>
      <c r="W52" s="106" t="e">
        <f>W56+W73+#REF!+W88</f>
        <v>#REF!</v>
      </c>
      <c r="X52" s="104" t="e">
        <f>X53+X61+X69+X73+#REF!+X91+X60+X79+X98+X101+X80+X103+X84+X104+X106+X102+X105+X87</f>
        <v>#REF!</v>
      </c>
      <c r="Y52" s="107" t="e">
        <f>X52/P52*100</f>
        <v>#REF!</v>
      </c>
      <c r="Z52" s="105" t="e">
        <f>Z53+Z61+Z69+Z73+Z78+Z84+Z87+Z96+Z98+Z101+Z102+Z103+Z104+Z105+Z106+Z116</f>
        <v>#REF!</v>
      </c>
      <c r="AA52" s="104" t="e">
        <f aca="true" t="shared" si="4" ref="AA52:AA57">Z52/P52*100</f>
        <v>#REF!</v>
      </c>
      <c r="AB52" s="108" t="e">
        <f aca="true" t="shared" si="5" ref="AB52:AB57">Z52-P52</f>
        <v>#REF!</v>
      </c>
      <c r="AC52" s="72"/>
      <c r="AD52" s="109">
        <f t="shared" si="3"/>
        <v>55223879.758199</v>
      </c>
      <c r="AE52" s="105">
        <f>AE53+AE61+AE69+AE73+AE78+AE84+AE87+AE96+AE98+AE101+AE102+AE103+AE104+AE105+AE106+AE111</f>
        <v>55223879.758199</v>
      </c>
      <c r="AF52" s="72"/>
      <c r="AG52" s="72"/>
      <c r="AH52" s="105">
        <f>AH53+AH61+AH69+AH73+AH78+AH84+AH87+AH96+AH98+AH101+AH102+AH103+AH104+AH105+AH106+AH111</f>
        <v>47728649.38</v>
      </c>
      <c r="AI52" s="107">
        <f aca="true" t="shared" si="6" ref="AI52:AI84">AH52/AE52*100</f>
        <v>86.42755559548279</v>
      </c>
    </row>
    <row r="53" spans="1:35" s="2" customFormat="1" ht="31.5">
      <c r="A53" s="75" t="s">
        <v>98</v>
      </c>
      <c r="B53" s="75" t="s">
        <v>95</v>
      </c>
      <c r="C53" s="76"/>
      <c r="D53" s="110" t="s">
        <v>55</v>
      </c>
      <c r="E53" s="111">
        <v>4945</v>
      </c>
      <c r="F53" s="111" t="e">
        <f>4797.2+#REF!</f>
        <v>#REF!</v>
      </c>
      <c r="G53" s="111">
        <v>516.2</v>
      </c>
      <c r="H53" s="111">
        <v>4326</v>
      </c>
      <c r="I53" s="111">
        <f>7616.03-3700.736</f>
        <v>3915.294</v>
      </c>
      <c r="J53" s="111">
        <v>3323</v>
      </c>
      <c r="K53" s="111">
        <v>4326</v>
      </c>
      <c r="L53" s="111" t="s">
        <v>56</v>
      </c>
      <c r="M53" s="112">
        <f>M54+M55+M57+M56</f>
        <v>7956400</v>
      </c>
      <c r="N53" s="112">
        <f>N54+N55+N57+N56</f>
        <v>0</v>
      </c>
      <c r="O53" s="112">
        <f>O54+O55+O57+O56</f>
        <v>20746400</v>
      </c>
      <c r="P53" s="113">
        <f>P54+P55+P57+P56+P60</f>
        <v>11194558.2</v>
      </c>
      <c r="Q53" s="112">
        <f aca="true" t="shared" si="7" ref="Q53:V53">Q54+Q55+Q57+Q56</f>
        <v>10373200</v>
      </c>
      <c r="R53" s="112">
        <f t="shared" si="7"/>
        <v>0</v>
      </c>
      <c r="S53" s="112">
        <f t="shared" si="7"/>
        <v>0</v>
      </c>
      <c r="T53" s="112">
        <f t="shared" si="7"/>
        <v>7206768.960000001</v>
      </c>
      <c r="U53" s="112">
        <f t="shared" si="7"/>
        <v>0</v>
      </c>
      <c r="V53" s="112">
        <f t="shared" si="7"/>
        <v>13605960.81</v>
      </c>
      <c r="W53" s="112"/>
      <c r="X53" s="112">
        <f>X54+X55+X57</f>
        <v>7425268.960000001</v>
      </c>
      <c r="Y53" s="114">
        <f>X53/P53*100</f>
        <v>66.32927202075737</v>
      </c>
      <c r="Z53" s="113">
        <f>Z54+Z55+Z57+Z56+Z60</f>
        <v>14501241.25</v>
      </c>
      <c r="AA53" s="112">
        <f t="shared" si="4"/>
        <v>129.5383077288392</v>
      </c>
      <c r="AB53" s="115">
        <f t="shared" si="5"/>
        <v>3306683.0500000007</v>
      </c>
      <c r="AC53" s="116"/>
      <c r="AD53" s="117">
        <f>AE53+AF53</f>
        <v>16024691.25</v>
      </c>
      <c r="AE53" s="118">
        <f>AE54+AE55+AE57+AE56+AE60+AE58+AE59</f>
        <v>16024691.25</v>
      </c>
      <c r="AF53" s="118"/>
      <c r="AG53" s="119"/>
      <c r="AH53" s="138">
        <f>AH54+AH55+AH57+AH58+AH60+AH59</f>
        <v>12278871.889999999</v>
      </c>
      <c r="AI53" s="135">
        <f t="shared" si="6"/>
        <v>76.62470183317883</v>
      </c>
    </row>
    <row r="54" spans="1:35" ht="18.75">
      <c r="A54" s="20"/>
      <c r="B54" s="20"/>
      <c r="C54" s="21" t="s">
        <v>95</v>
      </c>
      <c r="D54" s="121" t="s">
        <v>57</v>
      </c>
      <c r="E54" s="122"/>
      <c r="F54" s="122"/>
      <c r="G54" s="122"/>
      <c r="H54" s="122"/>
      <c r="I54" s="123"/>
      <c r="J54" s="123"/>
      <c r="K54" s="123"/>
      <c r="L54" s="123"/>
      <c r="M54" s="124">
        <v>3915300</v>
      </c>
      <c r="N54" s="123"/>
      <c r="O54" s="125">
        <f>P54+Q54</f>
        <v>7830600</v>
      </c>
      <c r="P54" s="126">
        <f>Q54+R54</f>
        <v>3915300</v>
      </c>
      <c r="Q54" s="127">
        <v>3915300</v>
      </c>
      <c r="R54" s="43"/>
      <c r="S54" s="43"/>
      <c r="T54" s="127">
        <f>377576+371325+309994.8+333575+343665.2+183849+382449.6+208635+112435+213155+204635+153080</f>
        <v>3194374.6</v>
      </c>
      <c r="U54" s="127"/>
      <c r="V54" s="128">
        <v>4284918.23</v>
      </c>
      <c r="W54" s="128"/>
      <c r="X54" s="127">
        <f>377576+371325+309994.8+333575+343665.2+183849+382449.6+208635+112435+213155+204635+153080+218500</f>
        <v>3412874.6</v>
      </c>
      <c r="Y54" s="129">
        <f>X54/P54*100</f>
        <v>87.16763977217582</v>
      </c>
      <c r="Z54" s="130">
        <v>4284918.23</v>
      </c>
      <c r="AA54" s="131">
        <f t="shared" si="4"/>
        <v>109.44035527290374</v>
      </c>
      <c r="AB54" s="132">
        <f t="shared" si="5"/>
        <v>369618.23000000045</v>
      </c>
      <c r="AC54" s="53" t="s">
        <v>58</v>
      </c>
      <c r="AD54" s="133">
        <f t="shared" si="3"/>
        <v>4817918.23</v>
      </c>
      <c r="AE54" s="130">
        <v>4817918.23</v>
      </c>
      <c r="AF54" s="43"/>
      <c r="AG54" s="43"/>
      <c r="AH54" s="134">
        <f>451196.53+332740.16-66.81+399426.96+233852.31+419280+342420+316420+270160+424000+332250</f>
        <v>3521679.15</v>
      </c>
      <c r="AI54" s="135">
        <f t="shared" si="6"/>
        <v>73.09545288816575</v>
      </c>
    </row>
    <row r="55" spans="1:35" ht="18" customHeight="1">
      <c r="A55" s="20"/>
      <c r="B55" s="20"/>
      <c r="C55" s="21" t="s">
        <v>96</v>
      </c>
      <c r="D55" s="121" t="s">
        <v>59</v>
      </c>
      <c r="E55" s="122"/>
      <c r="F55" s="122"/>
      <c r="G55" s="122"/>
      <c r="H55" s="122"/>
      <c r="I55" s="123"/>
      <c r="J55" s="123"/>
      <c r="K55" s="123"/>
      <c r="L55" s="123"/>
      <c r="M55" s="124">
        <v>3700700</v>
      </c>
      <c r="N55" s="123"/>
      <c r="O55" s="125">
        <f>P55+Q55</f>
        <v>12235000</v>
      </c>
      <c r="P55" s="126">
        <f>Q55+R55</f>
        <v>6117500</v>
      </c>
      <c r="Q55" s="127">
        <f>3700700+2416800</f>
        <v>6117500</v>
      </c>
      <c r="R55" s="43"/>
      <c r="S55" s="43"/>
      <c r="T55" s="127">
        <f>368514.26+320005.16+308997.12+245452.4+488986.08+424493.2+319141.43+361164.06+393613.2+515925.59</f>
        <v>3746292.5000000005</v>
      </c>
      <c r="U55" s="127"/>
      <c r="V55" s="128">
        <v>8196115.58</v>
      </c>
      <c r="W55" s="128"/>
      <c r="X55" s="127">
        <f>368514.26+320005.16+308997.12+245452.4+488986.08+424493.2+319141.43+361164.06+393613.2+515925.59</f>
        <v>3746292.5000000005</v>
      </c>
      <c r="Y55" s="129">
        <f>X55/P55*100</f>
        <v>61.238945647731924</v>
      </c>
      <c r="Z55" s="130">
        <v>8196115.58</v>
      </c>
      <c r="AA55" s="131">
        <f t="shared" si="4"/>
        <v>133.9781868410298</v>
      </c>
      <c r="AB55" s="132">
        <f t="shared" si="5"/>
        <v>2078615.58</v>
      </c>
      <c r="AC55" s="136" t="s">
        <v>60</v>
      </c>
      <c r="AD55" s="133">
        <f t="shared" si="3"/>
        <v>9292577.58</v>
      </c>
      <c r="AE55" s="137">
        <v>9292577.58</v>
      </c>
      <c r="AF55" s="43"/>
      <c r="AG55" s="43"/>
      <c r="AH55" s="138">
        <f>1043663.87+1051800.53+937923.95+734004.17+658837.16+525067.25+376221.5+489613.19+767265.06+814313.53</f>
        <v>7398710.21</v>
      </c>
      <c r="AI55" s="135">
        <f t="shared" si="6"/>
        <v>79.61956891190141</v>
      </c>
    </row>
    <row r="56" spans="1:35" ht="38.25" customHeight="1" hidden="1">
      <c r="A56" s="20"/>
      <c r="B56" s="20"/>
      <c r="C56" s="21" t="s">
        <v>95</v>
      </c>
      <c r="D56" s="139" t="s">
        <v>61</v>
      </c>
      <c r="E56" s="140"/>
      <c r="F56" s="140"/>
      <c r="G56" s="140"/>
      <c r="H56" s="140"/>
      <c r="I56" s="140"/>
      <c r="J56" s="140"/>
      <c r="K56" s="140"/>
      <c r="L56" s="140"/>
      <c r="M56" s="141">
        <v>0</v>
      </c>
      <c r="N56" s="141">
        <v>0</v>
      </c>
      <c r="O56" s="141">
        <v>0</v>
      </c>
      <c r="P56" s="142">
        <v>0</v>
      </c>
      <c r="Q56" s="141">
        <v>0</v>
      </c>
      <c r="R56" s="141">
        <v>0</v>
      </c>
      <c r="S56" s="141">
        <v>0</v>
      </c>
      <c r="T56" s="141">
        <v>0</v>
      </c>
      <c r="U56" s="141"/>
      <c r="V56" s="128">
        <v>647750</v>
      </c>
      <c r="W56" s="262">
        <v>754100</v>
      </c>
      <c r="X56" s="141">
        <v>0</v>
      </c>
      <c r="Y56" s="141">
        <v>0</v>
      </c>
      <c r="Z56" s="34">
        <v>647750</v>
      </c>
      <c r="AA56" s="131" t="e">
        <f t="shared" si="4"/>
        <v>#DIV/0!</v>
      </c>
      <c r="AB56" s="143">
        <f t="shared" si="5"/>
        <v>647750</v>
      </c>
      <c r="AC56" s="263" t="s">
        <v>62</v>
      </c>
      <c r="AD56" s="133">
        <f t="shared" si="3"/>
        <v>0</v>
      </c>
      <c r="AE56" s="137">
        <v>0</v>
      </c>
      <c r="AF56" s="43"/>
      <c r="AG56" s="43"/>
      <c r="AH56" s="134"/>
      <c r="AI56" s="135" t="e">
        <f t="shared" si="6"/>
        <v>#DIV/0!</v>
      </c>
    </row>
    <row r="57" spans="1:35" ht="31.5">
      <c r="A57" s="20"/>
      <c r="B57" s="20"/>
      <c r="C57" s="21" t="s">
        <v>95</v>
      </c>
      <c r="D57" s="144" t="s">
        <v>225</v>
      </c>
      <c r="E57" s="140"/>
      <c r="F57" s="140"/>
      <c r="G57" s="140"/>
      <c r="H57" s="140"/>
      <c r="I57" s="140"/>
      <c r="J57" s="140"/>
      <c r="K57" s="140"/>
      <c r="L57" s="140"/>
      <c r="M57" s="142">
        <v>340400</v>
      </c>
      <c r="N57" s="140"/>
      <c r="O57" s="145">
        <f>P57+Q57</f>
        <v>680800</v>
      </c>
      <c r="P57" s="142">
        <f>Q57+R57</f>
        <v>340400</v>
      </c>
      <c r="Q57" s="127">
        <v>340400</v>
      </c>
      <c r="R57" s="119"/>
      <c r="S57" s="119"/>
      <c r="T57" s="127">
        <f>31760+32267.33+557+3492.67+30267.33+3492.67+2457.54+28267.33+3492.67+30267.32+3492.67+30767.33+3492.67+30267.33+3492.67+28267.33</f>
        <v>266101.86000000004</v>
      </c>
      <c r="U57" s="127"/>
      <c r="V57" s="128">
        <v>477177</v>
      </c>
      <c r="W57" s="262"/>
      <c r="X57" s="127">
        <f>31760+32267.33+557+3492.67+30267.33+3492.67+2457.54+28267.33+3492.67+30267.32+3492.67+30767.33+3492.67+30267.33+3492.67+28267.33</f>
        <v>266101.86000000004</v>
      </c>
      <c r="Y57" s="146">
        <f>X57/P57*100</f>
        <v>78.17328437132787</v>
      </c>
      <c r="Z57" s="34">
        <v>477177</v>
      </c>
      <c r="AA57" s="131">
        <f t="shared" si="4"/>
        <v>140.18125734430083</v>
      </c>
      <c r="AB57" s="143">
        <f t="shared" si="5"/>
        <v>136777</v>
      </c>
      <c r="AC57" s="263"/>
      <c r="AD57" s="133">
        <f t="shared" si="3"/>
        <v>477177</v>
      </c>
      <c r="AE57" s="137">
        <v>477177</v>
      </c>
      <c r="AF57" s="43"/>
      <c r="AG57" s="43"/>
      <c r="AH57" s="138">
        <f>70531.7+6772.4+32179.65+4172.4+2000+32179.65+4772.4+2000+33654.16+37827.5+2000+4831.46+33654.16+8172.4+33654.15+6982.4+33654.15+4772.4+33654.15+8172.4</f>
        <v>395637.53000000014</v>
      </c>
      <c r="AI57" s="135">
        <f t="shared" si="6"/>
        <v>82.91211227699577</v>
      </c>
    </row>
    <row r="58" spans="1:35" ht="18.75">
      <c r="A58" s="20"/>
      <c r="B58" s="20"/>
      <c r="C58" s="21"/>
      <c r="D58" s="147" t="s">
        <v>180</v>
      </c>
      <c r="E58" s="140"/>
      <c r="F58" s="140"/>
      <c r="G58" s="140"/>
      <c r="H58" s="140"/>
      <c r="I58" s="140"/>
      <c r="J58" s="140"/>
      <c r="K58" s="140"/>
      <c r="L58" s="140"/>
      <c r="M58" s="142"/>
      <c r="N58" s="140"/>
      <c r="O58" s="145"/>
      <c r="P58" s="142"/>
      <c r="Q58" s="127"/>
      <c r="R58" s="119"/>
      <c r="S58" s="119"/>
      <c r="T58" s="127"/>
      <c r="U58" s="127"/>
      <c r="V58" s="128"/>
      <c r="W58" s="128"/>
      <c r="X58" s="127"/>
      <c r="Y58" s="146"/>
      <c r="Z58" s="34"/>
      <c r="AA58" s="131"/>
      <c r="AB58" s="143"/>
      <c r="AC58" s="136"/>
      <c r="AD58" s="133">
        <f t="shared" si="3"/>
        <v>183138</v>
      </c>
      <c r="AE58" s="137">
        <v>183138</v>
      </c>
      <c r="AF58" s="43"/>
      <c r="AG58" s="43"/>
      <c r="AH58" s="138">
        <f>24557.74+11948.26+81164.16+10672</f>
        <v>128342.16</v>
      </c>
      <c r="AI58" s="135">
        <f t="shared" si="6"/>
        <v>70.07948104707926</v>
      </c>
    </row>
    <row r="59" spans="1:35" ht="15.75" customHeight="1">
      <c r="A59" s="20"/>
      <c r="B59" s="20"/>
      <c r="C59" s="21"/>
      <c r="D59" s="147" t="s">
        <v>223</v>
      </c>
      <c r="E59" s="140"/>
      <c r="F59" s="140"/>
      <c r="G59" s="140"/>
      <c r="H59" s="140"/>
      <c r="I59" s="140"/>
      <c r="J59" s="140"/>
      <c r="K59" s="140"/>
      <c r="L59" s="140"/>
      <c r="M59" s="142"/>
      <c r="N59" s="140"/>
      <c r="O59" s="145"/>
      <c r="P59" s="142"/>
      <c r="Q59" s="127"/>
      <c r="R59" s="119"/>
      <c r="S59" s="119"/>
      <c r="T59" s="127"/>
      <c r="U59" s="127"/>
      <c r="V59" s="128"/>
      <c r="W59" s="128"/>
      <c r="X59" s="127"/>
      <c r="Y59" s="146"/>
      <c r="Z59" s="34"/>
      <c r="AA59" s="131"/>
      <c r="AB59" s="143"/>
      <c r="AC59" s="136"/>
      <c r="AD59" s="133">
        <f t="shared" si="3"/>
        <v>358600</v>
      </c>
      <c r="AE59" s="137">
        <v>358600</v>
      </c>
      <c r="AF59" s="43"/>
      <c r="AG59" s="43"/>
      <c r="AH59" s="138">
        <f>26269.19+27110.07+62806.36</f>
        <v>116185.62</v>
      </c>
      <c r="AI59" s="135">
        <f t="shared" si="6"/>
        <v>32.3997824874512</v>
      </c>
    </row>
    <row r="60" spans="1:35" ht="18.75">
      <c r="A60" s="20"/>
      <c r="B60" s="20"/>
      <c r="C60" s="21" t="s">
        <v>96</v>
      </c>
      <c r="D60" s="139" t="s">
        <v>63</v>
      </c>
      <c r="E60" s="140">
        <f>31.3+21.5</f>
        <v>52.8</v>
      </c>
      <c r="F60" s="140">
        <f>E60</f>
        <v>52.8</v>
      </c>
      <c r="G60" s="140">
        <v>0</v>
      </c>
      <c r="H60" s="140">
        <f>F60</f>
        <v>52.8</v>
      </c>
      <c r="I60" s="140">
        <v>100</v>
      </c>
      <c r="J60" s="140">
        <v>0</v>
      </c>
      <c r="K60" s="140">
        <v>52.8</v>
      </c>
      <c r="L60" s="140" t="s">
        <v>56</v>
      </c>
      <c r="M60" s="118">
        <v>821358.2</v>
      </c>
      <c r="N60" s="140" t="s">
        <v>56</v>
      </c>
      <c r="O60" s="148">
        <f>P60+Q60</f>
        <v>1642716.4</v>
      </c>
      <c r="P60" s="142">
        <f>Q60+R60</f>
        <v>821358.2</v>
      </c>
      <c r="Q60" s="149">
        <v>821358.2</v>
      </c>
      <c r="R60" s="99"/>
      <c r="S60" s="99"/>
      <c r="T60" s="149">
        <f>57313.38+61144.73+58977.29+61169.9+64788.11+63325.73+67704.89+66130.42+67368.74+72480.48</f>
        <v>640403.6699999999</v>
      </c>
      <c r="U60" s="149"/>
      <c r="V60" s="149">
        <v>895280.44</v>
      </c>
      <c r="W60" s="149"/>
      <c r="X60" s="149">
        <f>57313.38+61144.73+58977.29+61169.9+64788.11+63325.73+67704.89+66130.42+67368.74+72480.48</f>
        <v>640403.6699999999</v>
      </c>
      <c r="Y60" s="150">
        <f>X60/P60*100</f>
        <v>77.96886547184894</v>
      </c>
      <c r="Z60" s="34">
        <v>895280.44</v>
      </c>
      <c r="AA60" s="131"/>
      <c r="AB60" s="143"/>
      <c r="AC60" s="136"/>
      <c r="AD60" s="133">
        <f t="shared" si="3"/>
        <v>895280.44</v>
      </c>
      <c r="AE60" s="137">
        <f>Z60</f>
        <v>895280.44</v>
      </c>
      <c r="AF60" s="43"/>
      <c r="AG60" s="43"/>
      <c r="AH60" s="138">
        <f>137394.42+66136.03+68723.5+67679.54+68057.1+80323.56+77790.17+75308.15+76904.75</f>
        <v>718317.22</v>
      </c>
      <c r="AI60" s="135">
        <f t="shared" si="6"/>
        <v>80.23376675134331</v>
      </c>
    </row>
    <row r="61" spans="1:35" s="2" customFormat="1" ht="18.75">
      <c r="A61" s="75" t="s">
        <v>99</v>
      </c>
      <c r="B61" s="75" t="s">
        <v>96</v>
      </c>
      <c r="C61" s="76"/>
      <c r="D61" s="110" t="s">
        <v>64</v>
      </c>
      <c r="E61" s="140">
        <v>5449.4</v>
      </c>
      <c r="F61" s="140">
        <f>E61</f>
        <v>5449.4</v>
      </c>
      <c r="G61" s="140">
        <v>1012.4</v>
      </c>
      <c r="H61" s="140">
        <v>4437</v>
      </c>
      <c r="I61" s="140">
        <v>8582.5</v>
      </c>
      <c r="J61" s="140">
        <v>1513.5</v>
      </c>
      <c r="K61" s="140">
        <v>4437</v>
      </c>
      <c r="L61" s="140"/>
      <c r="M61" s="151">
        <f>M62+M63+M67+M65+M68</f>
        <v>5469440</v>
      </c>
      <c r="N61" s="151">
        <f>N62+N63+N67+N65+N68</f>
        <v>0</v>
      </c>
      <c r="O61" s="151">
        <f>O62+O63+O67+O65+O68</f>
        <v>14216880</v>
      </c>
      <c r="P61" s="118">
        <f>P62+P63+P67+P65+P68+P66</f>
        <v>5469440</v>
      </c>
      <c r="Q61" s="151">
        <f>Q62+Q63+Q67+Q65+Q68</f>
        <v>8999440</v>
      </c>
      <c r="R61" s="119"/>
      <c r="S61" s="119"/>
      <c r="T61" s="151">
        <f>T62+T63+T67+T65+T68</f>
        <v>5903520.42</v>
      </c>
      <c r="U61" s="151"/>
      <c r="V61" s="151">
        <f>V62+V63+V67+V65+V68</f>
        <v>11520000</v>
      </c>
      <c r="W61" s="151"/>
      <c r="X61" s="151">
        <f>X62+X63+X67+X65+X68</f>
        <v>5074108.42</v>
      </c>
      <c r="Y61" s="135">
        <f>X61/P61*100</f>
        <v>92.77199164813949</v>
      </c>
      <c r="Z61" s="118">
        <f>Z62+Z63+Z67+Z65+Z68+Z66</f>
        <v>11520000</v>
      </c>
      <c r="AA61" s="151">
        <f>Z61/P61*100</f>
        <v>210.62485373274046</v>
      </c>
      <c r="AB61" s="152">
        <f>Z61-P61</f>
        <v>6050560</v>
      </c>
      <c r="AC61" s="119"/>
      <c r="AD61" s="117">
        <f t="shared" si="3"/>
        <v>6781464.640000001</v>
      </c>
      <c r="AE61" s="153">
        <f>AE62+AE63+AE67+AE65+AE66+AE68</f>
        <v>6781464.640000001</v>
      </c>
      <c r="AF61" s="119"/>
      <c r="AG61" s="119"/>
      <c r="AH61" s="138">
        <f>AH62+AH63+AH65+AH66+AH67+AH68</f>
        <v>6456065.9</v>
      </c>
      <c r="AI61" s="135">
        <f t="shared" si="6"/>
        <v>95.2016451124635</v>
      </c>
    </row>
    <row r="62" spans="1:37" ht="18.75">
      <c r="A62" s="20"/>
      <c r="B62" s="20"/>
      <c r="C62" s="21" t="s">
        <v>65</v>
      </c>
      <c r="D62" s="154" t="s">
        <v>66</v>
      </c>
      <c r="E62" s="141"/>
      <c r="F62" s="141"/>
      <c r="G62" s="141"/>
      <c r="H62" s="141"/>
      <c r="I62" s="141"/>
      <c r="J62" s="141"/>
      <c r="K62" s="141"/>
      <c r="L62" s="141"/>
      <c r="M62" s="149">
        <v>1799360</v>
      </c>
      <c r="N62" s="155"/>
      <c r="O62" s="145">
        <f>P62+Q62</f>
        <v>3598720</v>
      </c>
      <c r="P62" s="142">
        <f>Q62+R62</f>
        <v>1799360</v>
      </c>
      <c r="Q62" s="127">
        <v>1799360</v>
      </c>
      <c r="R62" s="99"/>
      <c r="S62" s="99"/>
      <c r="T62" s="127">
        <f>217430.51+24131.1+75354.44+26310+83994+124498.5+49141.8+90561.58+85135+265612.24+37000+95901+94500+48300+179347.42+146901.8+86841.09+62893.68+5505.6</f>
        <v>1799359.76</v>
      </c>
      <c r="U62" s="127"/>
      <c r="V62" s="156">
        <v>4550000</v>
      </c>
      <c r="W62" s="131"/>
      <c r="X62" s="127">
        <f>217430.51+24131.1+75354.44+26310+83994+124498.5+49141.8+90561.58+85135+265612.24+37000+95901+94500+48300+179347.42+146901.8+86841.09+62893.68+5505.6</f>
        <v>1799359.76</v>
      </c>
      <c r="Y62" s="150">
        <f>X62/P62*100</f>
        <v>99.99998666192424</v>
      </c>
      <c r="Z62" s="34">
        <v>4550000</v>
      </c>
      <c r="AA62" s="131">
        <f>Z62/P62*100</f>
        <v>252.86768628845812</v>
      </c>
      <c r="AB62" s="132">
        <f>Z62-P62</f>
        <v>2750640</v>
      </c>
      <c r="AC62" s="53"/>
      <c r="AD62" s="133">
        <f t="shared" si="3"/>
        <v>2245108.16</v>
      </c>
      <c r="AE62" s="130">
        <f>P62+P62*8.1%+300000</f>
        <v>2245108.16</v>
      </c>
      <c r="AF62" s="43"/>
      <c r="AG62" s="43"/>
      <c r="AH62" s="138">
        <f>54575+145257+242875+44400+234550+55500+136500+44400+82695+96084+394784+315234+77700+19055+55500+192234+11727.9+42000</f>
        <v>2245070.9</v>
      </c>
      <c r="AI62" s="135">
        <f t="shared" si="6"/>
        <v>99.99834039176089</v>
      </c>
      <c r="AK62" s="84"/>
    </row>
    <row r="63" spans="1:37" ht="20.25" customHeight="1">
      <c r="A63" s="20"/>
      <c r="B63" s="20"/>
      <c r="C63" s="21" t="s">
        <v>65</v>
      </c>
      <c r="D63" s="139" t="s">
        <v>67</v>
      </c>
      <c r="E63" s="141"/>
      <c r="F63" s="141"/>
      <c r="G63" s="141"/>
      <c r="H63" s="141"/>
      <c r="I63" s="141"/>
      <c r="J63" s="141"/>
      <c r="K63" s="141"/>
      <c r="L63" s="141"/>
      <c r="M63" s="149">
        <f>45000+98000</f>
        <v>143000</v>
      </c>
      <c r="N63" s="155"/>
      <c r="O63" s="145">
        <f>P63+Q63</f>
        <v>286000</v>
      </c>
      <c r="P63" s="142">
        <f>Q63+R63</f>
        <v>143000</v>
      </c>
      <c r="Q63" s="127">
        <f>45000+98000</f>
        <v>143000</v>
      </c>
      <c r="R63" s="99"/>
      <c r="S63" s="99"/>
      <c r="T63" s="127">
        <f>30000+97950+15000</f>
        <v>142950</v>
      </c>
      <c r="U63" s="127"/>
      <c r="V63" s="156">
        <v>275000</v>
      </c>
      <c r="W63" s="131"/>
      <c r="X63" s="127">
        <f>30000+97950+15000</f>
        <v>142950</v>
      </c>
      <c r="Y63" s="150">
        <f>X63/P63*100</f>
        <v>99.96503496503496</v>
      </c>
      <c r="Z63" s="34">
        <v>275000</v>
      </c>
      <c r="AA63" s="131">
        <f>Z63/P63*100</f>
        <v>192.30769230769232</v>
      </c>
      <c r="AB63" s="132">
        <f>Z63-P63</f>
        <v>132000</v>
      </c>
      <c r="AC63" s="53"/>
      <c r="AD63" s="133">
        <f t="shared" si="3"/>
        <v>404583</v>
      </c>
      <c r="AE63" s="130">
        <f>P63+P63*8.1%+200000+50000</f>
        <v>404583</v>
      </c>
      <c r="AF63" s="43"/>
      <c r="AG63" s="43"/>
      <c r="AH63" s="134">
        <f>154575+135696+49300+49950</f>
        <v>389521</v>
      </c>
      <c r="AI63" s="135">
        <f t="shared" si="6"/>
        <v>96.27715450229</v>
      </c>
      <c r="AK63" s="84"/>
    </row>
    <row r="64" spans="1:35" ht="36.75" customHeight="1">
      <c r="A64" s="20"/>
      <c r="B64" s="20"/>
      <c r="C64" s="21"/>
      <c r="D64" s="157" t="s">
        <v>197</v>
      </c>
      <c r="E64" s="141"/>
      <c r="F64" s="141"/>
      <c r="G64" s="141"/>
      <c r="H64" s="141"/>
      <c r="I64" s="141"/>
      <c r="J64" s="141"/>
      <c r="K64" s="141"/>
      <c r="L64" s="141"/>
      <c r="M64" s="149"/>
      <c r="N64" s="155"/>
      <c r="O64" s="145"/>
      <c r="P64" s="142"/>
      <c r="Q64" s="127"/>
      <c r="R64" s="99"/>
      <c r="S64" s="99"/>
      <c r="T64" s="127"/>
      <c r="U64" s="127"/>
      <c r="V64" s="156"/>
      <c r="W64" s="131"/>
      <c r="X64" s="127"/>
      <c r="Y64" s="150"/>
      <c r="Z64" s="34"/>
      <c r="AA64" s="131"/>
      <c r="AB64" s="132"/>
      <c r="AC64" s="53"/>
      <c r="AD64" s="158">
        <f>AE64</f>
        <v>50000</v>
      </c>
      <c r="AE64" s="130">
        <v>50000</v>
      </c>
      <c r="AF64" s="43"/>
      <c r="AG64" s="43"/>
      <c r="AH64" s="134">
        <v>49950</v>
      </c>
      <c r="AI64" s="135">
        <f t="shared" si="6"/>
        <v>99.9</v>
      </c>
    </row>
    <row r="65" spans="1:35" ht="18.75" customHeight="1">
      <c r="A65" s="20"/>
      <c r="B65" s="20"/>
      <c r="C65" s="21" t="s">
        <v>65</v>
      </c>
      <c r="D65" s="139" t="s">
        <v>68</v>
      </c>
      <c r="E65" s="141"/>
      <c r="F65" s="141"/>
      <c r="G65" s="141"/>
      <c r="H65" s="141"/>
      <c r="I65" s="141"/>
      <c r="J65" s="141"/>
      <c r="K65" s="141"/>
      <c r="L65" s="141"/>
      <c r="M65" s="149">
        <f>252000+175000</f>
        <v>427000</v>
      </c>
      <c r="N65" s="155"/>
      <c r="O65" s="145">
        <f>P65+Q65</f>
        <v>602000</v>
      </c>
      <c r="P65" s="142">
        <v>175000</v>
      </c>
      <c r="Q65" s="127">
        <f>252000+175000</f>
        <v>427000</v>
      </c>
      <c r="R65" s="99"/>
      <c r="S65" s="99"/>
      <c r="T65" s="127">
        <f>34750+28250+25000+31750+25000+32000+25000+45500+70000+25000+34750</f>
        <v>377000</v>
      </c>
      <c r="U65" s="127"/>
      <c r="V65" s="156">
        <v>900000</v>
      </c>
      <c r="W65" s="131"/>
      <c r="X65" s="127">
        <f>34750+28250+25000+31750+25000+32000+25000+45500+70000+25000+34750+25000</f>
        <v>402000</v>
      </c>
      <c r="Y65" s="150">
        <f>X65/P65*100</f>
        <v>229.71428571428572</v>
      </c>
      <c r="Z65" s="34">
        <v>200000</v>
      </c>
      <c r="AA65" s="131">
        <f>Z65/P65*100</f>
        <v>114.28571428571428</v>
      </c>
      <c r="AB65" s="132">
        <f>Z65-P65</f>
        <v>25000</v>
      </c>
      <c r="AC65" s="53"/>
      <c r="AD65" s="133">
        <f aca="true" t="shared" si="8" ref="AD65:AD82">AE65+AF65</f>
        <v>189175</v>
      </c>
      <c r="AE65" s="130">
        <f>P65+P65*8.1%</f>
        <v>189175</v>
      </c>
      <c r="AF65" s="43"/>
      <c r="AG65" s="43"/>
      <c r="AH65" s="134">
        <f>50000+25000+25000+25000+25000+25000</f>
        <v>175000</v>
      </c>
      <c r="AI65" s="159">
        <f t="shared" si="6"/>
        <v>92.50693802035153</v>
      </c>
    </row>
    <row r="66" spans="1:37" ht="20.25" customHeight="1">
      <c r="A66" s="20"/>
      <c r="B66" s="20"/>
      <c r="C66" s="259" t="s">
        <v>69</v>
      </c>
      <c r="D66" s="139" t="s">
        <v>70</v>
      </c>
      <c r="E66" s="141"/>
      <c r="F66" s="141"/>
      <c r="G66" s="141"/>
      <c r="H66" s="141"/>
      <c r="I66" s="141"/>
      <c r="J66" s="141"/>
      <c r="K66" s="141"/>
      <c r="L66" s="141"/>
      <c r="M66" s="149"/>
      <c r="N66" s="155"/>
      <c r="O66" s="145"/>
      <c r="P66" s="142">
        <v>252000</v>
      </c>
      <c r="Q66" s="127"/>
      <c r="R66" s="99"/>
      <c r="S66" s="99"/>
      <c r="T66" s="127"/>
      <c r="U66" s="127"/>
      <c r="V66" s="156"/>
      <c r="W66" s="131"/>
      <c r="X66" s="127"/>
      <c r="Y66" s="150"/>
      <c r="Z66" s="34">
        <v>700000</v>
      </c>
      <c r="AA66" s="131"/>
      <c r="AB66" s="132"/>
      <c r="AC66" s="53"/>
      <c r="AD66" s="133">
        <f t="shared" si="8"/>
        <v>272412</v>
      </c>
      <c r="AE66" s="130">
        <f>P66+P66*8.1%</f>
        <v>272412</v>
      </c>
      <c r="AF66" s="43"/>
      <c r="AG66" s="43"/>
      <c r="AH66" s="134">
        <f>125250+44500+50500+31750</f>
        <v>252000</v>
      </c>
      <c r="AI66" s="159">
        <f t="shared" si="6"/>
        <v>92.50693802035153</v>
      </c>
      <c r="AK66" s="84"/>
    </row>
    <row r="67" spans="1:35" ht="36.75" customHeight="1">
      <c r="A67" s="20"/>
      <c r="B67" s="20"/>
      <c r="C67" s="259"/>
      <c r="D67" s="139" t="s">
        <v>71</v>
      </c>
      <c r="E67" s="141"/>
      <c r="F67" s="141"/>
      <c r="G67" s="141"/>
      <c r="H67" s="141"/>
      <c r="I67" s="141"/>
      <c r="J67" s="141"/>
      <c r="K67" s="141"/>
      <c r="L67" s="141"/>
      <c r="M67" s="149">
        <f>1231480+1589000+180000+29600</f>
        <v>3030080</v>
      </c>
      <c r="N67" s="155"/>
      <c r="O67" s="145">
        <f>P67+Q67</f>
        <v>6060160</v>
      </c>
      <c r="P67" s="142">
        <f>Q67+R67</f>
        <v>3030080</v>
      </c>
      <c r="Q67" s="127">
        <f>1231480+1589000+180000+29600</f>
        <v>3030080</v>
      </c>
      <c r="R67" s="99"/>
      <c r="S67" s="99"/>
      <c r="T67" s="127">
        <f>95028.5+188463.6+68400+157936.81+158389.75+145896+29600+29783+198012+97921.6+193183.5+70992+147900+44992.5+21677.5+14703+58116+88392+107822+50854.4+71688+74646+6000+161762+123612.5+114360+30800+133278</f>
        <v>2684210.66</v>
      </c>
      <c r="U67" s="127"/>
      <c r="V67" s="156">
        <v>5345000</v>
      </c>
      <c r="W67" s="131"/>
      <c r="X67" s="127">
        <f>95028.5+188463.6+68400+157936.81+158389.75+145896+29600+29783+198012+97921.6+193183.5+70992+147900+44992.5+21677.5+14703+58116+88392+107822+50854.4+71688+74646+6000+161762+123612.5+114360+30800+133278+45588</f>
        <v>2729798.66</v>
      </c>
      <c r="Y67" s="146">
        <f aca="true" t="shared" si="9" ref="Y67:Y75">X67/P67*100</f>
        <v>90.08998640299927</v>
      </c>
      <c r="Z67" s="34">
        <v>5345000</v>
      </c>
      <c r="AA67" s="131">
        <f aca="true" t="shared" si="10" ref="AA67:AA75">Z67/P67*100</f>
        <v>176.39798289154083</v>
      </c>
      <c r="AB67" s="132">
        <f aca="true" t="shared" si="11" ref="AB67:AB75">Z67-P67</f>
        <v>2314920</v>
      </c>
      <c r="AC67" s="53"/>
      <c r="AD67" s="133">
        <f t="shared" si="8"/>
        <v>3670186.48</v>
      </c>
      <c r="AE67" s="130">
        <v>3670186.48</v>
      </c>
      <c r="AF67" s="43"/>
      <c r="AG67" s="43"/>
      <c r="AH67" s="138">
        <f>650252+225720+335728+255610+322330+98235+227636+69632+220062+47200+209500+42432+73116+76160+37420+32712+96570+9744+45220+99960+42020+80645+56610+39960</f>
        <v>3394474</v>
      </c>
      <c r="AI67" s="159">
        <f t="shared" si="6"/>
        <v>92.48778007595952</v>
      </c>
    </row>
    <row r="68" spans="1:35" ht="19.5" customHeight="1">
      <c r="A68" s="20"/>
      <c r="B68" s="20"/>
      <c r="C68" s="259"/>
      <c r="D68" s="139" t="s">
        <v>72</v>
      </c>
      <c r="E68" s="141"/>
      <c r="F68" s="141"/>
      <c r="G68" s="141"/>
      <c r="H68" s="141"/>
      <c r="I68" s="141"/>
      <c r="J68" s="141"/>
      <c r="K68" s="141"/>
      <c r="L68" s="141"/>
      <c r="M68" s="149">
        <v>70000</v>
      </c>
      <c r="N68" s="155"/>
      <c r="O68" s="145">
        <f>P68+Q68</f>
        <v>3670000</v>
      </c>
      <c r="P68" s="142">
        <v>70000</v>
      </c>
      <c r="Q68" s="145">
        <f>R68+S68</f>
        <v>3600000</v>
      </c>
      <c r="R68" s="145">
        <f>S68+T68</f>
        <v>2250000</v>
      </c>
      <c r="S68" s="145">
        <f>T68+U68</f>
        <v>1350000</v>
      </c>
      <c r="T68" s="145">
        <f>U68+V68</f>
        <v>900000</v>
      </c>
      <c r="U68" s="145">
        <f>V68+W68</f>
        <v>450000</v>
      </c>
      <c r="V68" s="145">
        <v>450000</v>
      </c>
      <c r="W68" s="131"/>
      <c r="X68" s="127">
        <v>0</v>
      </c>
      <c r="Y68" s="150">
        <f t="shared" si="9"/>
        <v>0</v>
      </c>
      <c r="Z68" s="34">
        <v>450000</v>
      </c>
      <c r="AA68" s="131">
        <f t="shared" si="10"/>
        <v>642.8571428571429</v>
      </c>
      <c r="AB68" s="132">
        <f t="shared" si="11"/>
        <v>380000</v>
      </c>
      <c r="AC68" s="53"/>
      <c r="AD68" s="133">
        <f t="shared" si="8"/>
        <v>0</v>
      </c>
      <c r="AE68" s="130">
        <v>0</v>
      </c>
      <c r="AF68" s="43"/>
      <c r="AG68" s="43"/>
      <c r="AH68" s="134">
        <v>0</v>
      </c>
      <c r="AI68" s="159" t="e">
        <f t="shared" si="6"/>
        <v>#DIV/0!</v>
      </c>
    </row>
    <row r="69" spans="1:35" s="2" customFormat="1" ht="19.5" customHeight="1">
      <c r="A69" s="75" t="s">
        <v>100</v>
      </c>
      <c r="B69" s="75" t="s">
        <v>97</v>
      </c>
      <c r="C69" s="76"/>
      <c r="D69" s="110" t="s">
        <v>73</v>
      </c>
      <c r="E69" s="111">
        <f>256.5+80.3</f>
        <v>336.8</v>
      </c>
      <c r="F69" s="111">
        <f>E69</f>
        <v>336.8</v>
      </c>
      <c r="G69" s="111">
        <f>74+23.5</f>
        <v>97.5</v>
      </c>
      <c r="H69" s="111">
        <f>F69-G69</f>
        <v>239.3</v>
      </c>
      <c r="I69" s="111">
        <f>1056.05-187.9-170</f>
        <v>698.15</v>
      </c>
      <c r="J69" s="111">
        <v>74.25</v>
      </c>
      <c r="K69" s="111">
        <v>239.3</v>
      </c>
      <c r="L69" s="111"/>
      <c r="M69" s="160">
        <f>M71+M72+M70</f>
        <v>625900</v>
      </c>
      <c r="N69" s="111" t="s">
        <v>56</v>
      </c>
      <c r="O69" s="160">
        <f>P69+Q69</f>
        <v>1251800</v>
      </c>
      <c r="P69" s="113">
        <f>Q69+R69</f>
        <v>625900</v>
      </c>
      <c r="Q69" s="112">
        <f>Q70+Q71+Q72</f>
        <v>625900</v>
      </c>
      <c r="R69" s="116"/>
      <c r="S69" s="116"/>
      <c r="T69" s="112">
        <f>T70+T71+T72</f>
        <v>441324.46</v>
      </c>
      <c r="U69" s="112"/>
      <c r="V69" s="160">
        <f>V71+V72+V70</f>
        <v>637789.921</v>
      </c>
      <c r="W69" s="160"/>
      <c r="X69" s="112">
        <f>X70+X71+X72</f>
        <v>441324.46</v>
      </c>
      <c r="Y69" s="114">
        <f t="shared" si="9"/>
        <v>70.51037865473718</v>
      </c>
      <c r="Z69" s="113">
        <f>Z70+Z71+Z72</f>
        <v>1169762.37</v>
      </c>
      <c r="AA69" s="112">
        <f t="shared" si="10"/>
        <v>186.892853490973</v>
      </c>
      <c r="AB69" s="115">
        <f t="shared" si="11"/>
        <v>543862.3700000001</v>
      </c>
      <c r="AC69" s="116"/>
      <c r="AD69" s="117">
        <f t="shared" si="8"/>
        <v>969518.73</v>
      </c>
      <c r="AE69" s="118">
        <f>AE70+AE71+AE72</f>
        <v>969518.73</v>
      </c>
      <c r="AF69" s="119"/>
      <c r="AG69" s="119"/>
      <c r="AH69" s="138">
        <f>AH70+AH71+AH72</f>
        <v>764518.6599999998</v>
      </c>
      <c r="AI69" s="135">
        <f t="shared" si="6"/>
        <v>78.85548121385956</v>
      </c>
    </row>
    <row r="70" spans="1:35" ht="18.75">
      <c r="A70" s="20"/>
      <c r="B70" s="20"/>
      <c r="C70" s="21" t="s">
        <v>74</v>
      </c>
      <c r="D70" s="139" t="s">
        <v>75</v>
      </c>
      <c r="E70" s="140"/>
      <c r="F70" s="140"/>
      <c r="G70" s="140"/>
      <c r="H70" s="140"/>
      <c r="I70" s="140"/>
      <c r="J70" s="140"/>
      <c r="K70" s="140"/>
      <c r="L70" s="140"/>
      <c r="M70" s="142">
        <v>268000</v>
      </c>
      <c r="N70" s="140"/>
      <c r="O70" s="145">
        <f>P70+Q70</f>
        <v>718512.58</v>
      </c>
      <c r="P70" s="142">
        <f>Q70+R70</f>
        <v>359256.29</v>
      </c>
      <c r="Q70" s="127">
        <f>268000+91256.29</f>
        <v>359256.29</v>
      </c>
      <c r="R70" s="99"/>
      <c r="S70" s="99"/>
      <c r="T70" s="127">
        <f>18552.24+72107.68+23190.3+47175.33+23015.91+29757.33+62844.09+23190.03</f>
        <v>299832.91000000003</v>
      </c>
      <c r="U70" s="127"/>
      <c r="V70" s="131">
        <f>P70*(0.9)</f>
        <v>323330.66099999996</v>
      </c>
      <c r="W70" s="131"/>
      <c r="X70" s="127">
        <f>18552.24+72107.68+23190.3+47175.33+23015.91+29757.33+62844.09+23190.03</f>
        <v>299832.91000000003</v>
      </c>
      <c r="Y70" s="150">
        <f t="shared" si="9"/>
        <v>83.45933483864681</v>
      </c>
      <c r="Z70" s="34">
        <v>855303.11</v>
      </c>
      <c r="AA70" s="131">
        <f t="shared" si="10"/>
        <v>238.07602923250138</v>
      </c>
      <c r="AB70" s="132">
        <f t="shared" si="11"/>
        <v>496046.82</v>
      </c>
      <c r="AC70" s="271" t="s">
        <v>76</v>
      </c>
      <c r="AD70" s="117">
        <f t="shared" si="8"/>
        <v>677532.25</v>
      </c>
      <c r="AE70" s="34">
        <v>677532.25</v>
      </c>
      <c r="AF70" s="119"/>
      <c r="AG70" s="119"/>
      <c r="AH70" s="138">
        <f>137793.06+59519.8+68453.75+26303.73+50766.79+210414.76+41287.47</f>
        <v>594539.3599999999</v>
      </c>
      <c r="AI70" s="135">
        <f t="shared" si="6"/>
        <v>87.75071002155246</v>
      </c>
    </row>
    <row r="71" spans="1:35" ht="17.25" customHeight="1">
      <c r="A71" s="20"/>
      <c r="B71" s="20"/>
      <c r="C71" s="21" t="s">
        <v>74</v>
      </c>
      <c r="D71" s="139" t="s">
        <v>77</v>
      </c>
      <c r="E71" s="140"/>
      <c r="F71" s="140"/>
      <c r="G71" s="140"/>
      <c r="H71" s="140"/>
      <c r="I71" s="140"/>
      <c r="J71" s="140"/>
      <c r="K71" s="140"/>
      <c r="L71" s="140"/>
      <c r="M71" s="142">
        <v>170000</v>
      </c>
      <c r="N71" s="140"/>
      <c r="O71" s="145">
        <f>P71+Q71</f>
        <v>157487.42</v>
      </c>
      <c r="P71" s="142">
        <f>Q71+R71</f>
        <v>78743.71</v>
      </c>
      <c r="Q71" s="127">
        <f>170000-91256.29</f>
        <v>78743.71</v>
      </c>
      <c r="R71" s="99"/>
      <c r="S71" s="99"/>
      <c r="T71" s="127">
        <f>14766.18+14774.76+14766.18+14766.18+14766.18</f>
        <v>73839.48000000001</v>
      </c>
      <c r="U71" s="127"/>
      <c r="V71" s="131">
        <v>86161.65</v>
      </c>
      <c r="W71" s="131"/>
      <c r="X71" s="127">
        <f>14766.18+14774.76+14766.18+14766.18+14766.18</f>
        <v>73839.48000000001</v>
      </c>
      <c r="Y71" s="150">
        <f t="shared" si="9"/>
        <v>93.7719088927865</v>
      </c>
      <c r="Z71" s="34">
        <v>86161.65</v>
      </c>
      <c r="AA71" s="131">
        <f t="shared" si="10"/>
        <v>109.42035878167282</v>
      </c>
      <c r="AB71" s="132">
        <f t="shared" si="11"/>
        <v>7417.939999999988</v>
      </c>
      <c r="AC71" s="271"/>
      <c r="AD71" s="117">
        <f t="shared" si="8"/>
        <v>113761.65</v>
      </c>
      <c r="AE71" s="34">
        <v>113761.65</v>
      </c>
      <c r="AF71" s="119"/>
      <c r="AG71" s="119"/>
      <c r="AH71" s="138">
        <f>16168.43+16168.43+16168.43+12868.48+17001.2</f>
        <v>78374.97</v>
      </c>
      <c r="AI71" s="135">
        <f t="shared" si="6"/>
        <v>68.8940165688525</v>
      </c>
    </row>
    <row r="72" spans="1:35" ht="18.75">
      <c r="A72" s="20"/>
      <c r="B72" s="20"/>
      <c r="C72" s="21" t="s">
        <v>74</v>
      </c>
      <c r="D72" s="139" t="s">
        <v>32</v>
      </c>
      <c r="E72" s="140">
        <f>173.3</f>
        <v>173.3</v>
      </c>
      <c r="F72" s="140">
        <f>173.3</f>
        <v>173.3</v>
      </c>
      <c r="G72" s="140">
        <v>83.4</v>
      </c>
      <c r="H72" s="140">
        <f>F72-G72</f>
        <v>89.9</v>
      </c>
      <c r="I72" s="140">
        <f>666.764-14.616-20</f>
        <v>632.148</v>
      </c>
      <c r="J72" s="140">
        <v>166.1</v>
      </c>
      <c r="K72" s="140">
        <v>89.9</v>
      </c>
      <c r="L72" s="140"/>
      <c r="M72" s="142">
        <v>187900</v>
      </c>
      <c r="N72" s="140" t="s">
        <v>56</v>
      </c>
      <c r="O72" s="145">
        <f>P72+Q72</f>
        <v>375800</v>
      </c>
      <c r="P72" s="142">
        <f>Q72+R72</f>
        <v>187900</v>
      </c>
      <c r="Q72" s="127">
        <v>187900</v>
      </c>
      <c r="R72" s="99"/>
      <c r="S72" s="99"/>
      <c r="T72" s="127">
        <f>2357.42+16410.77+16575.26+17703.29+14605.33</f>
        <v>67652.06999999999</v>
      </c>
      <c r="U72" s="127"/>
      <c r="V72" s="131">
        <v>228297.61</v>
      </c>
      <c r="W72" s="131"/>
      <c r="X72" s="127">
        <f>2357.42+16410.77+16575.26+17703.29+14605.33</f>
        <v>67652.06999999999</v>
      </c>
      <c r="Y72" s="150">
        <f t="shared" si="9"/>
        <v>36.00429483767961</v>
      </c>
      <c r="Z72" s="34">
        <v>228297.61</v>
      </c>
      <c r="AA72" s="131">
        <f t="shared" si="10"/>
        <v>121.49952634379989</v>
      </c>
      <c r="AB72" s="132">
        <f t="shared" si="11"/>
        <v>40397.609999999986</v>
      </c>
      <c r="AC72" s="271"/>
      <c r="AD72" s="117">
        <f t="shared" si="8"/>
        <v>178224.83</v>
      </c>
      <c r="AE72" s="34">
        <v>178224.83</v>
      </c>
      <c r="AF72" s="119"/>
      <c r="AG72" s="119"/>
      <c r="AH72" s="138">
        <f>5315.4+17844.91+18270.16+17221.51+18274.33+14678.02</f>
        <v>91604.33</v>
      </c>
      <c r="AI72" s="135">
        <f t="shared" si="6"/>
        <v>51.39818621232519</v>
      </c>
    </row>
    <row r="73" spans="1:35" s="2" customFormat="1" ht="18.75">
      <c r="A73" s="75" t="s">
        <v>78</v>
      </c>
      <c r="B73" s="75" t="s">
        <v>24</v>
      </c>
      <c r="C73" s="76"/>
      <c r="D73" s="110" t="s">
        <v>79</v>
      </c>
      <c r="E73" s="140">
        <f>122.6+1881.1</f>
        <v>2003.6999999999998</v>
      </c>
      <c r="F73" s="140">
        <f>121.8+1840</f>
        <v>1961.8</v>
      </c>
      <c r="G73" s="140">
        <v>27.7</v>
      </c>
      <c r="H73" s="140">
        <f>F73-G73</f>
        <v>1934.1</v>
      </c>
      <c r="I73" s="140">
        <f>2239.093+25.0115+616.4775</f>
        <v>2880.582</v>
      </c>
      <c r="J73" s="140">
        <v>1332.8</v>
      </c>
      <c r="K73" s="140">
        <v>1934.1</v>
      </c>
      <c r="L73" s="140"/>
      <c r="M73" s="151">
        <f aca="true" t="shared" si="12" ref="M73:V73">M74+M75+M77</f>
        <v>2123000</v>
      </c>
      <c r="N73" s="151" t="e">
        <f t="shared" si="12"/>
        <v>#VALUE!</v>
      </c>
      <c r="O73" s="151">
        <f t="shared" si="12"/>
        <v>4246000</v>
      </c>
      <c r="P73" s="118">
        <f t="shared" si="12"/>
        <v>2123000</v>
      </c>
      <c r="Q73" s="151">
        <f t="shared" si="12"/>
        <v>2123000</v>
      </c>
      <c r="R73" s="151">
        <f t="shared" si="12"/>
        <v>0</v>
      </c>
      <c r="S73" s="151">
        <f t="shared" si="12"/>
        <v>0</v>
      </c>
      <c r="T73" s="151">
        <f t="shared" si="12"/>
        <v>1314272.7199999997</v>
      </c>
      <c r="U73" s="151">
        <f t="shared" si="12"/>
        <v>0</v>
      </c>
      <c r="V73" s="151">
        <f t="shared" si="12"/>
        <v>2480800</v>
      </c>
      <c r="W73" s="151">
        <f>W74</f>
        <v>1128700</v>
      </c>
      <c r="X73" s="151">
        <f>X74+X75+X77</f>
        <v>1314272.7199999997</v>
      </c>
      <c r="Y73" s="135">
        <f t="shared" si="9"/>
        <v>61.906392840320294</v>
      </c>
      <c r="Z73" s="118">
        <f>Z74+Z75+Z77</f>
        <v>2480800</v>
      </c>
      <c r="AA73" s="151">
        <f t="shared" si="10"/>
        <v>116.85350918511541</v>
      </c>
      <c r="AB73" s="152">
        <f t="shared" si="11"/>
        <v>357800</v>
      </c>
      <c r="AC73" s="272" t="s">
        <v>108</v>
      </c>
      <c r="AD73" s="117">
        <f t="shared" si="8"/>
        <v>2653600</v>
      </c>
      <c r="AE73" s="118">
        <f>AE74+AE75+AE76+AE77</f>
        <v>2653600</v>
      </c>
      <c r="AF73" s="119"/>
      <c r="AG73" s="119"/>
      <c r="AH73" s="138">
        <f>AH74+AH75+AH76+AH77</f>
        <v>2028355.8599999999</v>
      </c>
      <c r="AI73" s="135">
        <f t="shared" si="6"/>
        <v>76.43789041302381</v>
      </c>
    </row>
    <row r="74" spans="1:37" ht="33.75" customHeight="1">
      <c r="A74" s="20"/>
      <c r="B74" s="20"/>
      <c r="C74" s="21" t="s">
        <v>109</v>
      </c>
      <c r="D74" s="147" t="s">
        <v>110</v>
      </c>
      <c r="E74" s="140"/>
      <c r="F74" s="140"/>
      <c r="G74" s="140"/>
      <c r="H74" s="140"/>
      <c r="I74" s="140"/>
      <c r="J74" s="140"/>
      <c r="K74" s="140"/>
      <c r="L74" s="140"/>
      <c r="M74" s="149">
        <f>1984500</f>
        <v>1984500</v>
      </c>
      <c r="N74" s="140"/>
      <c r="O74" s="145">
        <f>P74+Q74</f>
        <v>3969000</v>
      </c>
      <c r="P74" s="142">
        <f>Q74+R74</f>
        <v>1984500</v>
      </c>
      <c r="Q74" s="127">
        <f>1984500</f>
        <v>1984500</v>
      </c>
      <c r="R74" s="99"/>
      <c r="S74" s="99"/>
      <c r="T74" s="127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U74" s="127"/>
      <c r="V74" s="23">
        <v>2415500</v>
      </c>
      <c r="W74" s="131">
        <v>1128700</v>
      </c>
      <c r="X74" s="127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Y74" s="146">
        <f t="shared" si="9"/>
        <v>64.4961723356009</v>
      </c>
      <c r="Z74" s="34">
        <v>2415500</v>
      </c>
      <c r="AA74" s="128">
        <f t="shared" si="10"/>
        <v>121.7183169564122</v>
      </c>
      <c r="AB74" s="161">
        <f t="shared" si="11"/>
        <v>431000</v>
      </c>
      <c r="AC74" s="272"/>
      <c r="AD74" s="117">
        <f t="shared" si="8"/>
        <v>1878100</v>
      </c>
      <c r="AE74" s="34">
        <f>1705300+172800</f>
        <v>1878100</v>
      </c>
      <c r="AF74" s="119"/>
      <c r="AG74" s="119"/>
      <c r="AH74" s="162">
        <f>1314692.7+17925+3943.5+11938.1+34638.95+5673.54+1211.52+18025+3965.5</f>
        <v>1412013.81</v>
      </c>
      <c r="AI74" s="135">
        <f t="shared" si="6"/>
        <v>75.18310047388319</v>
      </c>
      <c r="AK74" s="84"/>
    </row>
    <row r="75" spans="1:35" s="1" customFormat="1" ht="17.25" customHeight="1">
      <c r="A75" s="20"/>
      <c r="B75" s="20"/>
      <c r="C75" s="21" t="s">
        <v>109</v>
      </c>
      <c r="D75" s="139" t="s">
        <v>111</v>
      </c>
      <c r="E75" s="140"/>
      <c r="F75" s="140"/>
      <c r="G75" s="140"/>
      <c r="H75" s="140"/>
      <c r="I75" s="140"/>
      <c r="J75" s="140"/>
      <c r="K75" s="140"/>
      <c r="L75" s="140"/>
      <c r="M75" s="149">
        <f>117815</f>
        <v>117815</v>
      </c>
      <c r="N75" s="140"/>
      <c r="O75" s="145">
        <f>P75+Q75</f>
        <v>235630</v>
      </c>
      <c r="P75" s="142">
        <f>Q75+R75</f>
        <v>117815</v>
      </c>
      <c r="Q75" s="127">
        <f>117815</f>
        <v>117815</v>
      </c>
      <c r="R75" s="99"/>
      <c r="S75" s="99"/>
      <c r="T75" s="127">
        <f>5874.96+10528.68+2678.52+4068.84+4824.24+994.56</f>
        <v>28969.8</v>
      </c>
      <c r="U75" s="127"/>
      <c r="V75" s="23">
        <v>36100</v>
      </c>
      <c r="W75" s="131"/>
      <c r="X75" s="127">
        <f>5874.96+10528.68+2678.52+4068.84+4824.24+994.56</f>
        <v>28969.8</v>
      </c>
      <c r="Y75" s="150">
        <f t="shared" si="9"/>
        <v>24.589228875779824</v>
      </c>
      <c r="Z75" s="34">
        <v>36100</v>
      </c>
      <c r="AA75" s="128">
        <f t="shared" si="10"/>
        <v>30.641259601918264</v>
      </c>
      <c r="AB75" s="161">
        <f t="shared" si="11"/>
        <v>-81715</v>
      </c>
      <c r="AC75" s="272"/>
      <c r="AD75" s="117">
        <f t="shared" si="8"/>
        <v>36100</v>
      </c>
      <c r="AE75" s="34">
        <f>Z75</f>
        <v>36100</v>
      </c>
      <c r="AF75" s="119"/>
      <c r="AG75" s="119"/>
      <c r="AH75" s="138">
        <f>10774.62+6345.33+3406.94+3854.95+5067.23+1768.3+1502.82</f>
        <v>32720.19</v>
      </c>
      <c r="AI75" s="135">
        <f t="shared" si="6"/>
        <v>90.63764542936288</v>
      </c>
    </row>
    <row r="76" spans="1:35" s="1" customFormat="1" ht="17.25" customHeight="1">
      <c r="A76" s="20"/>
      <c r="B76" s="20"/>
      <c r="C76" s="21"/>
      <c r="D76" s="139" t="s">
        <v>112</v>
      </c>
      <c r="E76" s="140"/>
      <c r="F76" s="140"/>
      <c r="G76" s="140"/>
      <c r="H76" s="140"/>
      <c r="I76" s="140"/>
      <c r="J76" s="140"/>
      <c r="K76" s="140"/>
      <c r="L76" s="140"/>
      <c r="M76" s="149"/>
      <c r="N76" s="140"/>
      <c r="O76" s="145"/>
      <c r="P76" s="142"/>
      <c r="Q76" s="127"/>
      <c r="R76" s="99"/>
      <c r="S76" s="99"/>
      <c r="T76" s="127"/>
      <c r="U76" s="127"/>
      <c r="V76" s="23"/>
      <c r="W76" s="131"/>
      <c r="X76" s="127"/>
      <c r="Y76" s="150"/>
      <c r="Z76" s="34"/>
      <c r="AA76" s="128"/>
      <c r="AB76" s="161"/>
      <c r="AC76" s="272"/>
      <c r="AD76" s="117">
        <f t="shared" si="8"/>
        <v>29200</v>
      </c>
      <c r="AE76" s="34">
        <f>Z77</f>
        <v>29200</v>
      </c>
      <c r="AF76" s="119"/>
      <c r="AG76" s="119"/>
      <c r="AH76" s="138">
        <f>991.77+516.4+534.22+353.35+424.2+443.68+1494.28+706.25+727.33</f>
        <v>6191.48</v>
      </c>
      <c r="AI76" s="135">
        <f t="shared" si="6"/>
        <v>21.203698630136987</v>
      </c>
    </row>
    <row r="77" spans="1:35" s="1" customFormat="1" ht="36" customHeight="1">
      <c r="A77" s="20"/>
      <c r="B77" s="20"/>
      <c r="C77" s="21" t="s">
        <v>109</v>
      </c>
      <c r="D77" s="147" t="s">
        <v>113</v>
      </c>
      <c r="E77" s="140">
        <v>22463.7</v>
      </c>
      <c r="F77" s="140">
        <f>7156.8+15302.9</f>
        <v>22459.7</v>
      </c>
      <c r="G77" s="140">
        <f>1375.6+2420.3</f>
        <v>3795.9</v>
      </c>
      <c r="H77" s="140">
        <v>18663.8</v>
      </c>
      <c r="I77" s="140">
        <v>26758.69305</v>
      </c>
      <c r="J77" s="140" t="e">
        <f>#REF!+#REF!+#REF!+#REF!</f>
        <v>#REF!</v>
      </c>
      <c r="K77" s="140" t="e">
        <f>#REF!+#REF!+#REF!+#REF!</f>
        <v>#REF!</v>
      </c>
      <c r="L77" s="140"/>
      <c r="M77" s="149">
        <v>20685</v>
      </c>
      <c r="N77" s="140" t="s">
        <v>56</v>
      </c>
      <c r="O77" s="145">
        <f>P77+Q77</f>
        <v>41370</v>
      </c>
      <c r="P77" s="142">
        <f>Q77+R77</f>
        <v>20685</v>
      </c>
      <c r="Q77" s="127">
        <v>20685</v>
      </c>
      <c r="R77" s="99"/>
      <c r="S77" s="99"/>
      <c r="T77" s="127">
        <f>848.74+587.05+557.5+750.92+889.87+917.3+825</f>
        <v>5376.38</v>
      </c>
      <c r="U77" s="127"/>
      <c r="V77" s="23">
        <v>29200</v>
      </c>
      <c r="W77" s="131"/>
      <c r="X77" s="127">
        <f>848.74+587.05+557.5+750.92+889.87+917.3+825</f>
        <v>5376.38</v>
      </c>
      <c r="Y77" s="150">
        <f>X77/P77*100</f>
        <v>25.991684795745712</v>
      </c>
      <c r="Z77" s="34">
        <v>29200</v>
      </c>
      <c r="AA77" s="128">
        <f>Z77/P77*100</f>
        <v>141.16509547981627</v>
      </c>
      <c r="AB77" s="161">
        <f>Z77-P77</f>
        <v>8515</v>
      </c>
      <c r="AC77" s="272"/>
      <c r="AD77" s="117">
        <f t="shared" si="8"/>
        <v>710200</v>
      </c>
      <c r="AE77" s="34">
        <f>680402.75+29797.25</f>
        <v>710200</v>
      </c>
      <c r="AF77" s="119"/>
      <c r="AG77" s="119"/>
      <c r="AH77" s="138">
        <f>496919.07+14188.75+10157.5+2234.65+31558.82+6863.44+10957.5+2410.65+2140</f>
        <v>577430.38</v>
      </c>
      <c r="AI77" s="135">
        <f t="shared" si="6"/>
        <v>81.30531962827374</v>
      </c>
    </row>
    <row r="78" spans="1:35" s="2" customFormat="1" ht="18.75">
      <c r="A78" s="75"/>
      <c r="B78" s="75" t="s">
        <v>25</v>
      </c>
      <c r="C78" s="76"/>
      <c r="D78" s="144" t="s">
        <v>114</v>
      </c>
      <c r="E78" s="140"/>
      <c r="F78" s="140"/>
      <c r="G78" s="140"/>
      <c r="H78" s="140"/>
      <c r="I78" s="140"/>
      <c r="J78" s="140"/>
      <c r="K78" s="140"/>
      <c r="L78" s="140"/>
      <c r="M78" s="151"/>
      <c r="N78" s="163"/>
      <c r="O78" s="148"/>
      <c r="P78" s="118" t="e">
        <f>P79+P80+#REF!+P81+P82</f>
        <v>#REF!</v>
      </c>
      <c r="Q78" s="164"/>
      <c r="R78" s="119"/>
      <c r="S78" s="119"/>
      <c r="T78" s="164"/>
      <c r="U78" s="164"/>
      <c r="V78" s="151"/>
      <c r="W78" s="151"/>
      <c r="X78" s="164"/>
      <c r="Y78" s="165"/>
      <c r="Z78" s="118" t="e">
        <f>Z79+Z80+#REF!+Z81+Z82</f>
        <v>#REF!</v>
      </c>
      <c r="AA78" s="151"/>
      <c r="AB78" s="152"/>
      <c r="AC78" s="119"/>
      <c r="AD78" s="117">
        <f t="shared" si="8"/>
        <v>18949819.408198997</v>
      </c>
      <c r="AE78" s="118">
        <f>AE79+AE80+AE81+AE82+AE83</f>
        <v>18949819.408198997</v>
      </c>
      <c r="AF78" s="119"/>
      <c r="AG78" s="119"/>
      <c r="AH78" s="138">
        <f>AH79+AH80+AH81+AH82</f>
        <v>18203397.639999997</v>
      </c>
      <c r="AI78" s="135">
        <f t="shared" si="6"/>
        <v>96.06106131082153</v>
      </c>
    </row>
    <row r="79" spans="1:35" ht="18.75">
      <c r="A79" s="18" t="s">
        <v>115</v>
      </c>
      <c r="B79" s="18"/>
      <c r="C79" s="21" t="s">
        <v>116</v>
      </c>
      <c r="D79" s="147" t="s">
        <v>117</v>
      </c>
      <c r="E79" s="141"/>
      <c r="F79" s="141"/>
      <c r="G79" s="141"/>
      <c r="H79" s="141"/>
      <c r="I79" s="141"/>
      <c r="J79" s="141"/>
      <c r="K79" s="141"/>
      <c r="L79" s="141"/>
      <c r="M79" s="142">
        <v>5104000</v>
      </c>
      <c r="N79" s="155"/>
      <c r="O79" s="145">
        <f>P79+Q79</f>
        <v>8219357.757999999</v>
      </c>
      <c r="P79" s="142">
        <f>Q79+R79</f>
        <v>4109678.8789999997</v>
      </c>
      <c r="Q79" s="149">
        <f>5104000-994321.121</f>
        <v>4109678.8789999997</v>
      </c>
      <c r="R79" s="99"/>
      <c r="S79" s="99"/>
      <c r="T79" s="149">
        <f>307554.9+660163.29+188518.82+197590.73+136793.57+167192.17+227989.31+243188.57+455978.54</f>
        <v>2584969.9</v>
      </c>
      <c r="U79" s="149"/>
      <c r="V79" s="149">
        <v>0</v>
      </c>
      <c r="W79" s="149"/>
      <c r="X79" s="149">
        <f>307554.9+660163.29+188518.82+197590.73+136793.57+167192.17+227989.31+243188.57+455978.54+258387.82</f>
        <v>2843357.7199999997</v>
      </c>
      <c r="Y79" s="150">
        <f>X79/P79*100</f>
        <v>69.18685872342095</v>
      </c>
      <c r="Z79" s="34">
        <v>8044223</v>
      </c>
      <c r="AA79" s="149">
        <f>Z79/P79*100</f>
        <v>195.73848071451718</v>
      </c>
      <c r="AB79" s="166">
        <f>Z79-P79</f>
        <v>3934544.1210000003</v>
      </c>
      <c r="AC79" s="99" t="s">
        <v>118</v>
      </c>
      <c r="AD79" s="117">
        <f t="shared" si="8"/>
        <v>4442562.868199</v>
      </c>
      <c r="AE79" s="34">
        <f>P79+P79*8.1%</f>
        <v>4442562.868199</v>
      </c>
      <c r="AF79" s="119"/>
      <c r="AG79" s="119"/>
      <c r="AH79" s="138">
        <f>948917.94+163090.75+163090.74+179399.82+163090.75+228327.04+97854.45+195708.9+163090.75+146781.67+163090.75+652362.98+587126.69+577304.78</f>
        <v>4429238.01</v>
      </c>
      <c r="AI79" s="135">
        <f t="shared" si="6"/>
        <v>99.70006371109832</v>
      </c>
    </row>
    <row r="80" spans="1:35" ht="18.75">
      <c r="A80" s="18" t="s">
        <v>119</v>
      </c>
      <c r="B80" s="18"/>
      <c r="C80" s="21" t="s">
        <v>116</v>
      </c>
      <c r="D80" s="139" t="s">
        <v>120</v>
      </c>
      <c r="E80" s="141"/>
      <c r="F80" s="141"/>
      <c r="G80" s="141"/>
      <c r="H80" s="141"/>
      <c r="I80" s="141"/>
      <c r="J80" s="141"/>
      <c r="K80" s="141"/>
      <c r="L80" s="141"/>
      <c r="M80" s="142">
        <v>15799500</v>
      </c>
      <c r="N80" s="155"/>
      <c r="O80" s="145">
        <f>P80+Q80</f>
        <v>38043075.9</v>
      </c>
      <c r="P80" s="142">
        <f>Q80+R80</f>
        <v>19021537.95</v>
      </c>
      <c r="Q80" s="149">
        <f>15542500+3519037.95-40000</f>
        <v>19021537.95</v>
      </c>
      <c r="R80" s="99"/>
      <c r="S80" s="99"/>
      <c r="T80" s="149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</f>
        <v>15158802.240000002</v>
      </c>
      <c r="U80" s="149"/>
      <c r="V80" s="149">
        <f>41814854.5-3647031.42</f>
        <v>38167823.08</v>
      </c>
      <c r="W80" s="149"/>
      <c r="X80" s="149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+709410.6</f>
        <v>15868212.840000002</v>
      </c>
      <c r="Y80" s="150">
        <f>X80/P80*100</f>
        <v>83.42234409074163</v>
      </c>
      <c r="Z80" s="34">
        <f>13776827+8308804.5+7685000</f>
        <v>29770631.5</v>
      </c>
      <c r="AA80" s="149">
        <f>Z80/P80*100</f>
        <v>156.51011804752625</v>
      </c>
      <c r="AB80" s="166">
        <f>Z80-P80</f>
        <v>10749093.55</v>
      </c>
      <c r="AC80" s="99"/>
      <c r="AD80" s="117">
        <f t="shared" si="8"/>
        <v>12584142.54</v>
      </c>
      <c r="AE80" s="34">
        <v>12584142.54</v>
      </c>
      <c r="AF80" s="119"/>
      <c r="AG80" s="119"/>
      <c r="AH80" s="138">
        <f>5188613.57+805957.41+217308.34+168393.6+248352.38+168297.6+725973.54+436443.28+77738.63+398809.3+124176.19+431084.58+345928.06+369501.07+177428.71+452843.89+278796.45+112957.7+364145.65+229920.58+380809.85+128942.02+302935.68+141079.03+307675.32</f>
        <v>12584112.43</v>
      </c>
      <c r="AI80" s="135">
        <f t="shared" si="6"/>
        <v>99.99976073061868</v>
      </c>
    </row>
    <row r="81" spans="1:35" ht="16.5" customHeight="1">
      <c r="A81" s="18"/>
      <c r="B81" s="18"/>
      <c r="C81" s="21"/>
      <c r="D81" s="139" t="s">
        <v>121</v>
      </c>
      <c r="E81" s="140"/>
      <c r="F81" s="140"/>
      <c r="G81" s="140"/>
      <c r="H81" s="140"/>
      <c r="I81" s="140"/>
      <c r="J81" s="140"/>
      <c r="K81" s="140"/>
      <c r="L81" s="140"/>
      <c r="M81" s="167"/>
      <c r="N81" s="163"/>
      <c r="O81" s="168"/>
      <c r="P81" s="142">
        <v>0</v>
      </c>
      <c r="Q81" s="149"/>
      <c r="R81" s="99"/>
      <c r="S81" s="99"/>
      <c r="T81" s="149"/>
      <c r="U81" s="149"/>
      <c r="V81" s="149"/>
      <c r="W81" s="149"/>
      <c r="X81" s="149"/>
      <c r="Y81" s="150"/>
      <c r="Z81" s="34">
        <v>400000</v>
      </c>
      <c r="AA81" s="128"/>
      <c r="AB81" s="161"/>
      <c r="AC81" s="119"/>
      <c r="AD81" s="117">
        <f t="shared" si="8"/>
        <v>200000</v>
      </c>
      <c r="AE81" s="34">
        <f>Z81-200000</f>
        <v>200000</v>
      </c>
      <c r="AF81" s="119"/>
      <c r="AG81" s="119"/>
      <c r="AH81" s="138">
        <v>99727.2</v>
      </c>
      <c r="AI81" s="135">
        <f t="shared" si="6"/>
        <v>49.8636</v>
      </c>
    </row>
    <row r="82" spans="1:35" ht="18.75">
      <c r="A82" s="18"/>
      <c r="B82" s="18"/>
      <c r="C82" s="21"/>
      <c r="D82" s="139" t="s">
        <v>122</v>
      </c>
      <c r="E82" s="140"/>
      <c r="F82" s="140"/>
      <c r="G82" s="140"/>
      <c r="H82" s="140"/>
      <c r="I82" s="140"/>
      <c r="J82" s="140"/>
      <c r="K82" s="140"/>
      <c r="L82" s="140"/>
      <c r="M82" s="167"/>
      <c r="N82" s="163"/>
      <c r="O82" s="168"/>
      <c r="P82" s="142">
        <v>0</v>
      </c>
      <c r="Q82" s="149"/>
      <c r="R82" s="99"/>
      <c r="S82" s="99"/>
      <c r="T82" s="149"/>
      <c r="U82" s="149"/>
      <c r="V82" s="149"/>
      <c r="W82" s="149"/>
      <c r="X82" s="149"/>
      <c r="Y82" s="150"/>
      <c r="Z82" s="34">
        <v>1723114</v>
      </c>
      <c r="AA82" s="128"/>
      <c r="AB82" s="161"/>
      <c r="AC82" s="119"/>
      <c r="AD82" s="117">
        <f t="shared" si="8"/>
        <v>1090324</v>
      </c>
      <c r="AE82" s="34">
        <f>1723114-632790</f>
        <v>1090324</v>
      </c>
      <c r="AF82" s="119"/>
      <c r="AG82" s="119"/>
      <c r="AH82" s="138">
        <v>1090320</v>
      </c>
      <c r="AI82" s="135">
        <f t="shared" si="6"/>
        <v>99.99963313657226</v>
      </c>
    </row>
    <row r="83" spans="1:35" ht="31.5">
      <c r="A83" s="18"/>
      <c r="B83" s="18"/>
      <c r="C83" s="21"/>
      <c r="D83" s="139" t="s">
        <v>241</v>
      </c>
      <c r="E83" s="140"/>
      <c r="F83" s="140"/>
      <c r="G83" s="140"/>
      <c r="H83" s="140"/>
      <c r="I83" s="140"/>
      <c r="J83" s="140"/>
      <c r="K83" s="140"/>
      <c r="L83" s="140"/>
      <c r="M83" s="167"/>
      <c r="N83" s="163"/>
      <c r="O83" s="168"/>
      <c r="P83" s="142"/>
      <c r="Q83" s="149"/>
      <c r="R83" s="99"/>
      <c r="S83" s="99"/>
      <c r="T83" s="149"/>
      <c r="U83" s="149"/>
      <c r="V83" s="149"/>
      <c r="W83" s="149"/>
      <c r="X83" s="149"/>
      <c r="Y83" s="150"/>
      <c r="Z83" s="34"/>
      <c r="AA83" s="128"/>
      <c r="AB83" s="161"/>
      <c r="AC83" s="119"/>
      <c r="AD83" s="117">
        <f>AE83</f>
        <v>632790</v>
      </c>
      <c r="AE83" s="34">
        <v>632790</v>
      </c>
      <c r="AF83" s="119"/>
      <c r="AG83" s="119"/>
      <c r="AH83" s="138"/>
      <c r="AI83" s="135"/>
    </row>
    <row r="84" spans="1:35" s="2" customFormat="1" ht="18.75">
      <c r="A84" s="75" t="s">
        <v>123</v>
      </c>
      <c r="B84" s="75" t="s">
        <v>26</v>
      </c>
      <c r="C84" s="76" t="s">
        <v>125</v>
      </c>
      <c r="D84" s="110" t="s">
        <v>126</v>
      </c>
      <c r="E84" s="140"/>
      <c r="F84" s="140"/>
      <c r="G84" s="140"/>
      <c r="H84" s="140"/>
      <c r="I84" s="140"/>
      <c r="J84" s="140"/>
      <c r="K84" s="140"/>
      <c r="L84" s="140"/>
      <c r="M84" s="118">
        <v>0</v>
      </c>
      <c r="N84" s="163"/>
      <c r="O84" s="148">
        <f>P84+Q84</f>
        <v>514000</v>
      </c>
      <c r="P84" s="118">
        <f>Q84+R84</f>
        <v>257000</v>
      </c>
      <c r="Q84" s="151">
        <v>257000</v>
      </c>
      <c r="R84" s="119"/>
      <c r="S84" s="119"/>
      <c r="T84" s="151">
        <f>23700.62+50875.25+50875.25+50775.25</f>
        <v>176226.37</v>
      </c>
      <c r="U84" s="151"/>
      <c r="V84" s="151">
        <f>P84*(0.9)</f>
        <v>231300</v>
      </c>
      <c r="W84" s="151"/>
      <c r="X84" s="151">
        <f>23700.62+50875.25+50875.25+50775.25</f>
        <v>176226.37</v>
      </c>
      <c r="Y84" s="135">
        <f>X84/P84*100</f>
        <v>68.57057198443579</v>
      </c>
      <c r="Z84" s="153">
        <v>346347.28</v>
      </c>
      <c r="AA84" s="151">
        <f>Z84/P84*100</f>
        <v>134.7654785992218</v>
      </c>
      <c r="AB84" s="152">
        <f>Z84-P84</f>
        <v>89347.28000000003</v>
      </c>
      <c r="AC84" s="119"/>
      <c r="AD84" s="117">
        <f aca="true" t="shared" si="13" ref="AD84:AD93">AE84+AF84</f>
        <v>442817</v>
      </c>
      <c r="AE84" s="153">
        <f>AE85+AE86</f>
        <v>442817</v>
      </c>
      <c r="AF84" s="119"/>
      <c r="AG84" s="119"/>
      <c r="AH84" s="138">
        <f>AH85+AH86</f>
        <v>292817</v>
      </c>
      <c r="AI84" s="135">
        <f t="shared" si="6"/>
        <v>66.12596174040291</v>
      </c>
    </row>
    <row r="85" spans="1:35" s="2" customFormat="1" ht="31.5">
      <c r="A85" s="75"/>
      <c r="B85" s="75"/>
      <c r="C85" s="76"/>
      <c r="D85" s="139" t="s">
        <v>198</v>
      </c>
      <c r="E85" s="140"/>
      <c r="F85" s="140"/>
      <c r="G85" s="140"/>
      <c r="H85" s="140"/>
      <c r="I85" s="140"/>
      <c r="J85" s="140"/>
      <c r="K85" s="140"/>
      <c r="L85" s="140"/>
      <c r="M85" s="118"/>
      <c r="N85" s="163"/>
      <c r="O85" s="148"/>
      <c r="P85" s="118"/>
      <c r="Q85" s="151"/>
      <c r="R85" s="119"/>
      <c r="S85" s="119"/>
      <c r="T85" s="151"/>
      <c r="U85" s="151"/>
      <c r="V85" s="151"/>
      <c r="W85" s="151"/>
      <c r="X85" s="151"/>
      <c r="Y85" s="135"/>
      <c r="Z85" s="153"/>
      <c r="AA85" s="151"/>
      <c r="AB85" s="152"/>
      <c r="AC85" s="119"/>
      <c r="AD85" s="169">
        <f t="shared" si="13"/>
        <v>427817</v>
      </c>
      <c r="AE85" s="34">
        <f>AH85+150000</f>
        <v>427817</v>
      </c>
      <c r="AF85" s="119"/>
      <c r="AG85" s="119"/>
      <c r="AH85" s="170">
        <f>250800+27017</f>
        <v>277817</v>
      </c>
      <c r="AI85" s="135">
        <f aca="true" t="shared" si="14" ref="AI85:AI113">AH85/AE85*100</f>
        <v>64.93827968500551</v>
      </c>
    </row>
    <row r="86" spans="1:35" s="2" customFormat="1" ht="47.25">
      <c r="A86" s="75"/>
      <c r="B86" s="75"/>
      <c r="C86" s="76"/>
      <c r="D86" s="139" t="s">
        <v>220</v>
      </c>
      <c r="E86" s="140"/>
      <c r="F86" s="140"/>
      <c r="G86" s="140"/>
      <c r="H86" s="140"/>
      <c r="I86" s="140"/>
      <c r="J86" s="140"/>
      <c r="K86" s="140"/>
      <c r="L86" s="140"/>
      <c r="M86" s="118"/>
      <c r="N86" s="163"/>
      <c r="O86" s="148"/>
      <c r="P86" s="118"/>
      <c r="Q86" s="151"/>
      <c r="R86" s="119"/>
      <c r="S86" s="119"/>
      <c r="T86" s="151"/>
      <c r="U86" s="151"/>
      <c r="V86" s="151"/>
      <c r="W86" s="151"/>
      <c r="X86" s="151"/>
      <c r="Y86" s="135"/>
      <c r="Z86" s="153"/>
      <c r="AA86" s="151"/>
      <c r="AB86" s="152"/>
      <c r="AC86" s="119"/>
      <c r="AD86" s="169">
        <f t="shared" si="13"/>
        <v>15000</v>
      </c>
      <c r="AE86" s="34">
        <v>15000</v>
      </c>
      <c r="AF86" s="119"/>
      <c r="AG86" s="119"/>
      <c r="AH86" s="170">
        <v>15000</v>
      </c>
      <c r="AI86" s="135">
        <f t="shared" si="14"/>
        <v>100</v>
      </c>
    </row>
    <row r="87" spans="1:35" s="2" customFormat="1" ht="16.5" customHeight="1">
      <c r="A87" s="75" t="s">
        <v>127</v>
      </c>
      <c r="B87" s="75" t="s">
        <v>27</v>
      </c>
      <c r="C87" s="76" t="s">
        <v>129</v>
      </c>
      <c r="D87" s="110" t="s">
        <v>130</v>
      </c>
      <c r="E87" s="140"/>
      <c r="F87" s="140"/>
      <c r="G87" s="140"/>
      <c r="H87" s="140"/>
      <c r="I87" s="140"/>
      <c r="J87" s="140"/>
      <c r="K87" s="140"/>
      <c r="L87" s="140"/>
      <c r="M87" s="151">
        <f>L87</f>
        <v>0</v>
      </c>
      <c r="N87" s="163"/>
      <c r="O87" s="148">
        <f>O88</f>
        <v>1930883.46</v>
      </c>
      <c r="P87" s="118">
        <f>P88</f>
        <v>1930883.46</v>
      </c>
      <c r="Q87" s="151">
        <f>P87</f>
        <v>1930883.46</v>
      </c>
      <c r="R87" s="119"/>
      <c r="S87" s="119"/>
      <c r="T87" s="151">
        <f>T88</f>
        <v>859642.65</v>
      </c>
      <c r="U87" s="151"/>
      <c r="V87" s="151">
        <f>P87*(0.9)</f>
        <v>1737795.114</v>
      </c>
      <c r="W87" s="151"/>
      <c r="X87" s="151">
        <f>X88</f>
        <v>859642.65</v>
      </c>
      <c r="Y87" s="135">
        <f>X87/P87*100</f>
        <v>44.52069054442053</v>
      </c>
      <c r="Z87" s="153">
        <f>Z88</f>
        <v>17397438</v>
      </c>
      <c r="AA87" s="151">
        <f aca="true" t="shared" si="15" ref="AA87:AA93">Z87/P87*100</f>
        <v>901.0092198935714</v>
      </c>
      <c r="AB87" s="152">
        <f aca="true" t="shared" si="16" ref="AB87:AB93">Z87-P87</f>
        <v>15466554.54</v>
      </c>
      <c r="AC87" s="119"/>
      <c r="AD87" s="117">
        <f t="shared" si="13"/>
        <v>7573700</v>
      </c>
      <c r="AE87" s="153">
        <f>AE88+AE95+AE94</f>
        <v>7573700</v>
      </c>
      <c r="AF87" s="119"/>
      <c r="AG87" s="119"/>
      <c r="AH87" s="138">
        <f>AH88+AH95+AH94</f>
        <v>6492941.200000001</v>
      </c>
      <c r="AI87" s="135">
        <f t="shared" si="14"/>
        <v>85.73010813737012</v>
      </c>
    </row>
    <row r="88" spans="1:37" ht="35.25" customHeight="1">
      <c r="A88" s="18"/>
      <c r="B88" s="18"/>
      <c r="C88" s="21"/>
      <c r="D88" s="139" t="s">
        <v>218</v>
      </c>
      <c r="E88" s="140"/>
      <c r="F88" s="140"/>
      <c r="G88" s="140"/>
      <c r="H88" s="140"/>
      <c r="I88" s="140"/>
      <c r="J88" s="140"/>
      <c r="K88" s="140"/>
      <c r="L88" s="140"/>
      <c r="M88" s="118">
        <v>0</v>
      </c>
      <c r="N88" s="163"/>
      <c r="O88" s="148">
        <f>P88</f>
        <v>1930883.46</v>
      </c>
      <c r="P88" s="142">
        <v>1930883.46</v>
      </c>
      <c r="Q88" s="149">
        <v>1589311.46</v>
      </c>
      <c r="R88" s="99"/>
      <c r="S88" s="99"/>
      <c r="T88" s="131">
        <f>201636.21+106959.16+388332+795.26+161920.02</f>
        <v>859642.65</v>
      </c>
      <c r="U88" s="131"/>
      <c r="V88" s="131">
        <f>V89+V90</f>
        <v>17397438</v>
      </c>
      <c r="W88" s="131">
        <v>10385400</v>
      </c>
      <c r="X88" s="149">
        <f>201636.21+106959.16+388332+795.26+161920.02</f>
        <v>859642.65</v>
      </c>
      <c r="Y88" s="150">
        <f>X88/P88*100</f>
        <v>44.52069054442053</v>
      </c>
      <c r="Z88" s="34">
        <v>17397438</v>
      </c>
      <c r="AA88" s="131">
        <f t="shared" si="15"/>
        <v>901.0092198935714</v>
      </c>
      <c r="AB88" s="132">
        <f t="shared" si="16"/>
        <v>15466554.54</v>
      </c>
      <c r="AC88" s="99" t="s">
        <v>131</v>
      </c>
      <c r="AD88" s="169">
        <f t="shared" si="13"/>
        <v>7466216</v>
      </c>
      <c r="AE88" s="34">
        <f>7066216+400000</f>
        <v>7466216</v>
      </c>
      <c r="AF88" s="119"/>
      <c r="AG88" s="119"/>
      <c r="AH88" s="170">
        <f>5530620.2+275969.32+322560.66+85699.69+244556.47+1205.16</f>
        <v>6460611.500000001</v>
      </c>
      <c r="AI88" s="150">
        <f t="shared" si="14"/>
        <v>86.5312696552042</v>
      </c>
      <c r="AK88" s="28"/>
    </row>
    <row r="89" spans="1:35" ht="17.25" hidden="1">
      <c r="A89" s="18"/>
      <c r="B89" s="18"/>
      <c r="C89" s="21"/>
      <c r="D89" s="139" t="s">
        <v>132</v>
      </c>
      <c r="E89" s="140"/>
      <c r="F89" s="140"/>
      <c r="G89" s="140"/>
      <c r="H89" s="140"/>
      <c r="I89" s="140"/>
      <c r="J89" s="140"/>
      <c r="K89" s="140"/>
      <c r="L89" s="140"/>
      <c r="M89" s="118">
        <v>0</v>
      </c>
      <c r="N89" s="163"/>
      <c r="O89" s="145"/>
      <c r="P89" s="25">
        <v>1145765.29</v>
      </c>
      <c r="Q89" s="149"/>
      <c r="R89" s="119"/>
      <c r="S89" s="119"/>
      <c r="T89" s="128"/>
      <c r="U89" s="128"/>
      <c r="V89" s="149">
        <v>12523990</v>
      </c>
      <c r="W89" s="149"/>
      <c r="X89" s="151"/>
      <c r="Y89" s="135"/>
      <c r="Z89" s="142">
        <v>12523990</v>
      </c>
      <c r="AA89" s="128">
        <f t="shared" si="15"/>
        <v>1093.0676735721327</v>
      </c>
      <c r="AB89" s="161">
        <f t="shared" si="16"/>
        <v>11378224.71</v>
      </c>
      <c r="AC89" s="119"/>
      <c r="AD89" s="169">
        <f t="shared" si="13"/>
        <v>0</v>
      </c>
      <c r="AE89" s="34"/>
      <c r="AF89" s="119"/>
      <c r="AG89" s="119"/>
      <c r="AH89" s="170"/>
      <c r="AI89" s="150" t="e">
        <f t="shared" si="14"/>
        <v>#DIV/0!</v>
      </c>
    </row>
    <row r="90" spans="1:35" ht="17.25" hidden="1">
      <c r="A90" s="18"/>
      <c r="B90" s="18"/>
      <c r="C90" s="21"/>
      <c r="D90" s="139" t="s">
        <v>133</v>
      </c>
      <c r="E90" s="140"/>
      <c r="F90" s="140"/>
      <c r="G90" s="140"/>
      <c r="H90" s="140"/>
      <c r="I90" s="140"/>
      <c r="J90" s="140"/>
      <c r="K90" s="140"/>
      <c r="L90" s="140"/>
      <c r="M90" s="118">
        <v>0</v>
      </c>
      <c r="N90" s="163"/>
      <c r="O90" s="145"/>
      <c r="P90" s="25">
        <v>443546.17</v>
      </c>
      <c r="Q90" s="149"/>
      <c r="R90" s="119"/>
      <c r="S90" s="119"/>
      <c r="T90" s="128"/>
      <c r="U90" s="128"/>
      <c r="V90" s="149">
        <v>4873448</v>
      </c>
      <c r="W90" s="149"/>
      <c r="X90" s="151"/>
      <c r="Y90" s="135"/>
      <c r="Z90" s="142">
        <v>4873448</v>
      </c>
      <c r="AA90" s="128">
        <f t="shared" si="15"/>
        <v>1098.746495770666</v>
      </c>
      <c r="AB90" s="161">
        <f t="shared" si="16"/>
        <v>4429901.83</v>
      </c>
      <c r="AC90" s="119"/>
      <c r="AD90" s="169">
        <f t="shared" si="13"/>
        <v>0</v>
      </c>
      <c r="AE90" s="34"/>
      <c r="AF90" s="119"/>
      <c r="AG90" s="119"/>
      <c r="AH90" s="170"/>
      <c r="AI90" s="150" t="e">
        <f t="shared" si="14"/>
        <v>#DIV/0!</v>
      </c>
    </row>
    <row r="91" spans="1:35" ht="17.25" hidden="1">
      <c r="A91" s="18" t="s">
        <v>134</v>
      </c>
      <c r="B91" s="18"/>
      <c r="C91" s="27"/>
      <c r="D91" s="171" t="s">
        <v>135</v>
      </c>
      <c r="E91" s="172">
        <f>20554.4+1254+42.4</f>
        <v>21850.800000000003</v>
      </c>
      <c r="F91" s="172">
        <f>20118.2+1254+42.4</f>
        <v>21414.600000000002</v>
      </c>
      <c r="G91" s="172">
        <f>166.5+18.4</f>
        <v>184.9</v>
      </c>
      <c r="H91" s="172">
        <f>19951.7+1254+24</f>
        <v>21229.7</v>
      </c>
      <c r="I91" s="173">
        <f>25447.6+198</f>
        <v>25645.6</v>
      </c>
      <c r="J91" s="173">
        <v>10120.4</v>
      </c>
      <c r="K91" s="172">
        <v>21229.7</v>
      </c>
      <c r="L91" s="173"/>
      <c r="M91" s="128">
        <f>M92+M93</f>
        <v>25052300</v>
      </c>
      <c r="N91" s="173"/>
      <c r="O91" s="168">
        <f>P91+Q91</f>
        <v>18162154.96</v>
      </c>
      <c r="P91" s="167"/>
      <c r="Q91" s="128">
        <f>Q92+Q93</f>
        <v>18162154.96</v>
      </c>
      <c r="R91" s="119"/>
      <c r="S91" s="119"/>
      <c r="T91" s="128">
        <f>T92+T93</f>
        <v>18162151.85</v>
      </c>
      <c r="U91" s="128"/>
      <c r="V91" s="128">
        <v>0</v>
      </c>
      <c r="W91" s="128"/>
      <c r="X91" s="128">
        <f>X92+X93</f>
        <v>18162151.85</v>
      </c>
      <c r="Y91" s="135" t="e">
        <f>X91/P91*100</f>
        <v>#DIV/0!</v>
      </c>
      <c r="Z91" s="167">
        <f>Z92+Z93</f>
        <v>0</v>
      </c>
      <c r="AA91" s="128" t="e">
        <f t="shared" si="15"/>
        <v>#DIV/0!</v>
      </c>
      <c r="AB91" s="161">
        <f t="shared" si="16"/>
        <v>0</v>
      </c>
      <c r="AC91" s="119"/>
      <c r="AD91" s="169">
        <f t="shared" si="13"/>
        <v>0</v>
      </c>
      <c r="AE91" s="34"/>
      <c r="AF91" s="119"/>
      <c r="AG91" s="119"/>
      <c r="AH91" s="170"/>
      <c r="AI91" s="150" t="e">
        <f t="shared" si="14"/>
        <v>#DIV/0!</v>
      </c>
    </row>
    <row r="92" spans="1:35" ht="46.5" hidden="1">
      <c r="A92" s="20"/>
      <c r="B92" s="20"/>
      <c r="C92" s="258" t="s">
        <v>136</v>
      </c>
      <c r="D92" s="174" t="s">
        <v>82</v>
      </c>
      <c r="E92" s="140"/>
      <c r="F92" s="140"/>
      <c r="G92" s="140"/>
      <c r="H92" s="140"/>
      <c r="I92" s="175"/>
      <c r="J92" s="175"/>
      <c r="K92" s="175"/>
      <c r="L92" s="176"/>
      <c r="M92" s="177">
        <v>7232100</v>
      </c>
      <c r="N92" s="163"/>
      <c r="O92" s="145">
        <f>P92+Q92</f>
        <v>13707388.44</v>
      </c>
      <c r="P92" s="142">
        <f>Q92+R92</f>
        <v>6853694.22</v>
      </c>
      <c r="Q92" s="127">
        <f>7232100-378405.78</f>
        <v>6853694.22</v>
      </c>
      <c r="R92" s="119"/>
      <c r="S92" s="119"/>
      <c r="T92" s="127">
        <f>1341065+264830+1439254.25+119395.75+507870+59340+35936.5+335196.18+472850.38+220509.52+38684.18+107682.7+71415+175089.2+268474.5+377603.92+171362.7+194439.28+227897.54+71415+353382.62</f>
        <v>6853694.220000001</v>
      </c>
      <c r="U92" s="127"/>
      <c r="V92" s="128">
        <v>0</v>
      </c>
      <c r="W92" s="128"/>
      <c r="X92" s="127">
        <f>1341065+264830+1439254.25+119395.75+507870+59340+35936.5+335196.18+472850.38+220509.52+38684.18+107682.7+71415+175089.2+268474.5+377603.92+171362.7+194439.28+227897.54+71415+353382.62</f>
        <v>6853694.220000001</v>
      </c>
      <c r="Y92" s="146">
        <f>X92/P92*100</f>
        <v>100.00000000000003</v>
      </c>
      <c r="Z92" s="34">
        <v>0</v>
      </c>
      <c r="AA92" s="128">
        <f t="shared" si="15"/>
        <v>0</v>
      </c>
      <c r="AB92" s="161">
        <f t="shared" si="16"/>
        <v>-6853694.22</v>
      </c>
      <c r="AC92" s="119"/>
      <c r="AD92" s="169">
        <f t="shared" si="13"/>
        <v>0</v>
      </c>
      <c r="AE92" s="34"/>
      <c r="AF92" s="119"/>
      <c r="AG92" s="119"/>
      <c r="AH92" s="170"/>
      <c r="AI92" s="150" t="e">
        <f t="shared" si="14"/>
        <v>#DIV/0!</v>
      </c>
    </row>
    <row r="93" spans="1:35" ht="46.5" hidden="1">
      <c r="A93" s="20"/>
      <c r="B93" s="20"/>
      <c r="C93" s="258"/>
      <c r="D93" s="178" t="s">
        <v>83</v>
      </c>
      <c r="E93" s="140"/>
      <c r="F93" s="140"/>
      <c r="G93" s="140"/>
      <c r="H93" s="140"/>
      <c r="I93" s="175"/>
      <c r="J93" s="175"/>
      <c r="K93" s="175"/>
      <c r="L93" s="176"/>
      <c r="M93" s="177">
        <v>17820200</v>
      </c>
      <c r="N93" s="163"/>
      <c r="O93" s="145">
        <f>P93+Q93</f>
        <v>22616921.48</v>
      </c>
      <c r="P93" s="142">
        <f>Q93+R93</f>
        <v>11308460.74</v>
      </c>
      <c r="Q93" s="127">
        <f>17820200-6511739.26</f>
        <v>11308460.74</v>
      </c>
      <c r="R93" s="119"/>
      <c r="S93" s="119"/>
      <c r="T93" s="127">
        <f>485919.56+3050150.33+4015340.79+1228787.45+1461675.45+214759.4+851824.65</f>
        <v>11308457.629999999</v>
      </c>
      <c r="U93" s="127"/>
      <c r="V93" s="128">
        <v>0</v>
      </c>
      <c r="W93" s="128"/>
      <c r="X93" s="127">
        <f>485919.56+3050150.33+4015340.79+1228787.45+1461675.45+214759.4+851824.65</f>
        <v>11308457.629999999</v>
      </c>
      <c r="Y93" s="146">
        <f>X93/P93*100</f>
        <v>99.99997249846754</v>
      </c>
      <c r="Z93" s="34">
        <v>0</v>
      </c>
      <c r="AA93" s="128">
        <f t="shared" si="15"/>
        <v>0</v>
      </c>
      <c r="AB93" s="161">
        <f t="shared" si="16"/>
        <v>-11308460.74</v>
      </c>
      <c r="AC93" s="119"/>
      <c r="AD93" s="169">
        <f t="shared" si="13"/>
        <v>0</v>
      </c>
      <c r="AE93" s="34"/>
      <c r="AF93" s="119"/>
      <c r="AG93" s="119"/>
      <c r="AH93" s="170"/>
      <c r="AI93" s="150" t="e">
        <f t="shared" si="14"/>
        <v>#DIV/0!</v>
      </c>
    </row>
    <row r="94" spans="1:35" ht="18.75">
      <c r="A94" s="20"/>
      <c r="B94" s="20"/>
      <c r="C94" s="81"/>
      <c r="D94" s="178" t="s">
        <v>227</v>
      </c>
      <c r="E94" s="140"/>
      <c r="F94" s="140"/>
      <c r="G94" s="140"/>
      <c r="H94" s="140"/>
      <c r="I94" s="175"/>
      <c r="J94" s="175"/>
      <c r="K94" s="175"/>
      <c r="L94" s="176"/>
      <c r="M94" s="177"/>
      <c r="N94" s="163"/>
      <c r="O94" s="145"/>
      <c r="P94" s="142"/>
      <c r="Q94" s="127"/>
      <c r="R94" s="119"/>
      <c r="S94" s="119"/>
      <c r="T94" s="127"/>
      <c r="U94" s="127"/>
      <c r="V94" s="128"/>
      <c r="W94" s="128"/>
      <c r="X94" s="127"/>
      <c r="Y94" s="146"/>
      <c r="Z94" s="34"/>
      <c r="AA94" s="128"/>
      <c r="AB94" s="161"/>
      <c r="AC94" s="119"/>
      <c r="AD94" s="169">
        <f>AE94</f>
        <v>75154.3</v>
      </c>
      <c r="AE94" s="34">
        <v>75154.3</v>
      </c>
      <c r="AF94" s="119"/>
      <c r="AG94" s="119"/>
      <c r="AH94" s="170"/>
      <c r="AI94" s="150"/>
    </row>
    <row r="95" spans="1:35" ht="33.75" customHeight="1">
      <c r="A95" s="20"/>
      <c r="B95" s="20"/>
      <c r="C95" s="81"/>
      <c r="D95" s="178" t="s">
        <v>199</v>
      </c>
      <c r="E95" s="140"/>
      <c r="F95" s="140"/>
      <c r="G95" s="140"/>
      <c r="H95" s="140"/>
      <c r="I95" s="175"/>
      <c r="J95" s="175"/>
      <c r="K95" s="175"/>
      <c r="L95" s="176"/>
      <c r="M95" s="177"/>
      <c r="N95" s="163"/>
      <c r="O95" s="145"/>
      <c r="P95" s="142"/>
      <c r="Q95" s="127"/>
      <c r="R95" s="119"/>
      <c r="S95" s="119"/>
      <c r="T95" s="127"/>
      <c r="U95" s="127"/>
      <c r="V95" s="128"/>
      <c r="W95" s="128"/>
      <c r="X95" s="127"/>
      <c r="Y95" s="146"/>
      <c r="Z95" s="34"/>
      <c r="AA95" s="128"/>
      <c r="AB95" s="161"/>
      <c r="AC95" s="119"/>
      <c r="AD95" s="169">
        <f>AE95</f>
        <v>32329.7</v>
      </c>
      <c r="AE95" s="34">
        <v>32329.7</v>
      </c>
      <c r="AF95" s="119"/>
      <c r="AG95" s="119"/>
      <c r="AH95" s="170">
        <v>32329.7</v>
      </c>
      <c r="AI95" s="150">
        <f t="shared" si="14"/>
        <v>100</v>
      </c>
    </row>
    <row r="96" spans="1:35" s="2" customFormat="1" ht="18.75">
      <c r="A96" s="75"/>
      <c r="B96" s="75" t="s">
        <v>28</v>
      </c>
      <c r="C96" s="76" t="s">
        <v>85</v>
      </c>
      <c r="D96" s="110" t="s">
        <v>86</v>
      </c>
      <c r="E96" s="140"/>
      <c r="F96" s="140"/>
      <c r="G96" s="140"/>
      <c r="H96" s="140"/>
      <c r="I96" s="140"/>
      <c r="J96" s="140"/>
      <c r="K96" s="140"/>
      <c r="L96" s="140"/>
      <c r="M96" s="118">
        <v>0</v>
      </c>
      <c r="N96" s="118">
        <v>0</v>
      </c>
      <c r="O96" s="118">
        <v>0</v>
      </c>
      <c r="P96" s="118">
        <v>0</v>
      </c>
      <c r="Q96" s="118">
        <v>0</v>
      </c>
      <c r="R96" s="118">
        <v>0</v>
      </c>
      <c r="S96" s="118">
        <v>0</v>
      </c>
      <c r="T96" s="118">
        <v>0</v>
      </c>
      <c r="U96" s="118"/>
      <c r="V96" s="151">
        <v>212856.4</v>
      </c>
      <c r="W96" s="151"/>
      <c r="X96" s="118">
        <v>0</v>
      </c>
      <c r="Y96" s="118">
        <v>0</v>
      </c>
      <c r="Z96" s="153" t="e">
        <f>Z97+#REF!</f>
        <v>#REF!</v>
      </c>
      <c r="AA96" s="151"/>
      <c r="AB96" s="152" t="e">
        <f aca="true" t="shared" si="17" ref="AB96:AB109">Z96-P96</f>
        <v>#REF!</v>
      </c>
      <c r="AC96" s="119"/>
      <c r="AD96" s="117">
        <f aca="true" t="shared" si="18" ref="AD96:AD109">AE96+AF96</f>
        <v>100000</v>
      </c>
      <c r="AE96" s="153">
        <f>AE97</f>
        <v>100000</v>
      </c>
      <c r="AF96" s="119"/>
      <c r="AG96" s="119"/>
      <c r="AH96" s="138">
        <f>AH97</f>
        <v>0</v>
      </c>
      <c r="AI96" s="135">
        <f t="shared" si="14"/>
        <v>0</v>
      </c>
    </row>
    <row r="97" spans="1:35" ht="18.75">
      <c r="A97" s="20"/>
      <c r="B97" s="20"/>
      <c r="C97" s="21"/>
      <c r="D97" s="139" t="s">
        <v>141</v>
      </c>
      <c r="E97" s="172"/>
      <c r="F97" s="172"/>
      <c r="G97" s="172"/>
      <c r="H97" s="172"/>
      <c r="I97" s="172"/>
      <c r="J97" s="172"/>
      <c r="K97" s="172"/>
      <c r="L97" s="172"/>
      <c r="M97" s="142">
        <v>0</v>
      </c>
      <c r="N97" s="142">
        <v>0</v>
      </c>
      <c r="O97" s="142">
        <v>0</v>
      </c>
      <c r="P97" s="142">
        <v>0</v>
      </c>
      <c r="Q97" s="142">
        <v>0</v>
      </c>
      <c r="R97" s="142">
        <v>0</v>
      </c>
      <c r="S97" s="142">
        <v>0</v>
      </c>
      <c r="T97" s="142">
        <v>0</v>
      </c>
      <c r="U97" s="142"/>
      <c r="V97" s="128">
        <f>P97*(0.9)</f>
        <v>0</v>
      </c>
      <c r="W97" s="128"/>
      <c r="X97" s="142">
        <v>0</v>
      </c>
      <c r="Y97" s="142">
        <v>0</v>
      </c>
      <c r="Z97" s="34">
        <v>100000</v>
      </c>
      <c r="AA97" s="128" t="e">
        <f aca="true" t="shared" si="19" ref="AA97:AA109">Z97/P97*100</f>
        <v>#DIV/0!</v>
      </c>
      <c r="AB97" s="161">
        <f t="shared" si="17"/>
        <v>100000</v>
      </c>
      <c r="AC97" s="119"/>
      <c r="AD97" s="169">
        <f t="shared" si="18"/>
        <v>100000</v>
      </c>
      <c r="AE97" s="34">
        <v>100000</v>
      </c>
      <c r="AF97" s="119"/>
      <c r="AG97" s="119"/>
      <c r="AH97" s="170">
        <v>0</v>
      </c>
      <c r="AI97" s="150">
        <f t="shared" si="14"/>
        <v>0</v>
      </c>
    </row>
    <row r="98" spans="1:35" s="2" customFormat="1" ht="22.5" customHeight="1">
      <c r="A98" s="75" t="s">
        <v>142</v>
      </c>
      <c r="B98" s="75" t="s">
        <v>29</v>
      </c>
      <c r="C98" s="76"/>
      <c r="D98" s="179" t="s">
        <v>144</v>
      </c>
      <c r="E98" s="180"/>
      <c r="F98" s="180"/>
      <c r="G98" s="180"/>
      <c r="H98" s="180"/>
      <c r="I98" s="180"/>
      <c r="J98" s="180"/>
      <c r="K98" s="180"/>
      <c r="L98" s="180"/>
      <c r="M98" s="181">
        <f>M100+M99</f>
        <v>325000</v>
      </c>
      <c r="N98" s="180"/>
      <c r="O98" s="148">
        <f aca="true" t="shared" si="20" ref="O98:O109">P98+Q98</f>
        <v>2067000</v>
      </c>
      <c r="P98" s="118">
        <f aca="true" t="shared" si="21" ref="P98:P109">Q98+R98</f>
        <v>1033500</v>
      </c>
      <c r="Q98" s="182">
        <f>Q100+Q99</f>
        <v>1033500</v>
      </c>
      <c r="R98" s="99"/>
      <c r="S98" s="99"/>
      <c r="T98" s="182">
        <f>T100+T99</f>
        <v>669069.4899999999</v>
      </c>
      <c r="U98" s="182"/>
      <c r="V98" s="182">
        <f>V100+V99</f>
        <v>1189112</v>
      </c>
      <c r="W98" s="149"/>
      <c r="X98" s="182">
        <f>X100+X99</f>
        <v>669069.4899999999</v>
      </c>
      <c r="Y98" s="150">
        <f>X98/P98*100</f>
        <v>64.73821867440735</v>
      </c>
      <c r="Z98" s="183">
        <f>Z100+Z99</f>
        <v>1189112</v>
      </c>
      <c r="AA98" s="149">
        <f t="shared" si="19"/>
        <v>115.05679729075955</v>
      </c>
      <c r="AB98" s="166">
        <f t="shared" si="17"/>
        <v>155612</v>
      </c>
      <c r="AC98" s="266" t="s">
        <v>145</v>
      </c>
      <c r="AD98" s="117">
        <f t="shared" si="18"/>
        <v>789112</v>
      </c>
      <c r="AE98" s="184">
        <f>AE99+AE100</f>
        <v>789112</v>
      </c>
      <c r="AF98" s="119"/>
      <c r="AG98" s="119"/>
      <c r="AH98" s="138">
        <f>AH99+AH100</f>
        <v>419463.81</v>
      </c>
      <c r="AI98" s="135">
        <f t="shared" si="14"/>
        <v>53.1564353349081</v>
      </c>
    </row>
    <row r="99" spans="1:35" ht="18.75">
      <c r="A99" s="20"/>
      <c r="B99" s="20"/>
      <c r="C99" s="21" t="s">
        <v>146</v>
      </c>
      <c r="D99" s="139" t="s">
        <v>147</v>
      </c>
      <c r="E99" s="180"/>
      <c r="F99" s="180"/>
      <c r="G99" s="180"/>
      <c r="H99" s="180"/>
      <c r="I99" s="180"/>
      <c r="J99" s="180"/>
      <c r="K99" s="180"/>
      <c r="L99" s="180"/>
      <c r="M99" s="185">
        <v>225000</v>
      </c>
      <c r="N99" s="180"/>
      <c r="O99" s="145">
        <f t="shared" si="20"/>
        <v>1867000</v>
      </c>
      <c r="P99" s="142">
        <f t="shared" si="21"/>
        <v>933500</v>
      </c>
      <c r="Q99" s="186">
        <f>225000+378500+30000+300000</f>
        <v>933500</v>
      </c>
      <c r="R99" s="99"/>
      <c r="S99" s="99"/>
      <c r="T99" s="186">
        <f>12823.97+314438.51+1053.06+121644.29+64211.93+20568.88+13082.39+4993.7+64170</f>
        <v>616986.7299999999</v>
      </c>
      <c r="U99" s="186"/>
      <c r="V99" s="156">
        <v>1089113.5</v>
      </c>
      <c r="W99" s="131"/>
      <c r="X99" s="186">
        <f>12823.97+314438.51+1053.06+121644.29+64211.93+20568.88+13082.39+4993.7+64170</f>
        <v>616986.7299999999</v>
      </c>
      <c r="Y99" s="150">
        <f>X99/P99*100</f>
        <v>66.09391858596678</v>
      </c>
      <c r="Z99" s="34">
        <v>1089113.5</v>
      </c>
      <c r="AA99" s="131">
        <f t="shared" si="19"/>
        <v>116.66989823245848</v>
      </c>
      <c r="AB99" s="132">
        <f t="shared" si="17"/>
        <v>155613.5</v>
      </c>
      <c r="AC99" s="266"/>
      <c r="AD99" s="169">
        <f t="shared" si="18"/>
        <v>689113.5</v>
      </c>
      <c r="AE99" s="177">
        <v>689113.5</v>
      </c>
      <c r="AF99" s="119"/>
      <c r="AG99" s="119"/>
      <c r="AH99" s="170">
        <f>64659.38+110882.59+138297.43+78324.72</f>
        <v>392164.12</v>
      </c>
      <c r="AI99" s="150">
        <f t="shared" si="14"/>
        <v>56.908494754492544</v>
      </c>
    </row>
    <row r="100" spans="1:35" ht="18.75">
      <c r="A100" s="20"/>
      <c r="B100" s="20"/>
      <c r="C100" s="21" t="s">
        <v>146</v>
      </c>
      <c r="D100" s="139" t="s">
        <v>148</v>
      </c>
      <c r="E100" s="180"/>
      <c r="F100" s="180"/>
      <c r="G100" s="180"/>
      <c r="H100" s="180"/>
      <c r="I100" s="180"/>
      <c r="J100" s="180"/>
      <c r="K100" s="180"/>
      <c r="L100" s="180"/>
      <c r="M100" s="185">
        <v>100000</v>
      </c>
      <c r="N100" s="180"/>
      <c r="O100" s="145">
        <f t="shared" si="20"/>
        <v>200000</v>
      </c>
      <c r="P100" s="142">
        <f t="shared" si="21"/>
        <v>100000</v>
      </c>
      <c r="Q100" s="186">
        <v>100000</v>
      </c>
      <c r="R100" s="99"/>
      <c r="S100" s="99"/>
      <c r="T100" s="186">
        <f>385.27+6084.22+13129.31+12261.98+8270.72+11951.26</f>
        <v>52082.76</v>
      </c>
      <c r="U100" s="186"/>
      <c r="V100" s="156">
        <v>99998.5</v>
      </c>
      <c r="W100" s="131"/>
      <c r="X100" s="186">
        <f>385.27+6084.22+13129.31+12261.98+8270.72+11951.26</f>
        <v>52082.76</v>
      </c>
      <c r="Y100" s="150">
        <f>X100/P100*100</f>
        <v>52.08276000000001</v>
      </c>
      <c r="Z100" s="34">
        <v>99998.5</v>
      </c>
      <c r="AA100" s="131">
        <f t="shared" si="19"/>
        <v>99.9985</v>
      </c>
      <c r="AB100" s="132">
        <f t="shared" si="17"/>
        <v>-1.5</v>
      </c>
      <c r="AC100" s="266"/>
      <c r="AD100" s="169">
        <f t="shared" si="18"/>
        <v>99998.5</v>
      </c>
      <c r="AE100" s="177">
        <f>Z100</f>
        <v>99998.5</v>
      </c>
      <c r="AF100" s="119"/>
      <c r="AG100" s="119"/>
      <c r="AH100" s="170">
        <f>3627.67+2979.18+4331.94+2234.3+2184.74+3594.72+2619.8+1387.91+4339.43</f>
        <v>27299.69</v>
      </c>
      <c r="AI100" s="150">
        <f t="shared" si="14"/>
        <v>27.300099501492518</v>
      </c>
    </row>
    <row r="101" spans="1:35" s="2" customFormat="1" ht="18.75">
      <c r="A101" s="75" t="s">
        <v>149</v>
      </c>
      <c r="B101" s="75" t="s">
        <v>30</v>
      </c>
      <c r="C101" s="76" t="s">
        <v>146</v>
      </c>
      <c r="D101" s="110" t="s">
        <v>151</v>
      </c>
      <c r="E101" s="140" t="e">
        <f>#REF!+#REF!</f>
        <v>#REF!</v>
      </c>
      <c r="F101" s="140" t="e">
        <f>#REF!+#REF!</f>
        <v>#REF!</v>
      </c>
      <c r="G101" s="140" t="e">
        <f>#REF!+#REF!</f>
        <v>#REF!</v>
      </c>
      <c r="H101" s="140" t="e">
        <f>#REF!+#REF!</f>
        <v>#REF!</v>
      </c>
      <c r="I101" s="140" t="e">
        <f>#REF!+#REF!</f>
        <v>#REF!</v>
      </c>
      <c r="J101" s="140"/>
      <c r="K101" s="140">
        <v>3916.0000000000005</v>
      </c>
      <c r="L101" s="140"/>
      <c r="M101" s="118">
        <v>59112.8</v>
      </c>
      <c r="N101" s="140"/>
      <c r="O101" s="148">
        <f t="shared" si="20"/>
        <v>118225.6</v>
      </c>
      <c r="P101" s="118">
        <f t="shared" si="21"/>
        <v>59112.8</v>
      </c>
      <c r="Q101" s="151">
        <f>59136-23.2</f>
        <v>59112.8</v>
      </c>
      <c r="R101" s="119"/>
      <c r="S101" s="119"/>
      <c r="T101" s="151">
        <v>15318.9</v>
      </c>
      <c r="U101" s="151"/>
      <c r="V101" s="151">
        <v>208100</v>
      </c>
      <c r="W101" s="151"/>
      <c r="X101" s="151">
        <v>15318.9</v>
      </c>
      <c r="Y101" s="135">
        <f>X101/P101*100</f>
        <v>25.91469191105818</v>
      </c>
      <c r="Z101" s="153">
        <v>208100</v>
      </c>
      <c r="AA101" s="151">
        <f t="shared" si="19"/>
        <v>352.03881392862456</v>
      </c>
      <c r="AB101" s="152">
        <f t="shared" si="17"/>
        <v>148987.2</v>
      </c>
      <c r="AC101" s="119" t="s">
        <v>152</v>
      </c>
      <c r="AD101" s="117">
        <f t="shared" si="18"/>
        <v>176052.53</v>
      </c>
      <c r="AE101" s="153">
        <f>P101+11241.06+5698.67+100000</f>
        <v>176052.53</v>
      </c>
      <c r="AF101" s="119"/>
      <c r="AG101" s="119"/>
      <c r="AH101" s="138">
        <v>32017.68</v>
      </c>
      <c r="AI101" s="135">
        <f t="shared" si="14"/>
        <v>18.18643560532757</v>
      </c>
    </row>
    <row r="102" spans="1:35" s="2" customFormat="1" ht="18.75">
      <c r="A102" s="75" t="s">
        <v>153</v>
      </c>
      <c r="B102" s="75" t="s">
        <v>31</v>
      </c>
      <c r="C102" s="76" t="s">
        <v>146</v>
      </c>
      <c r="D102" s="110" t="s">
        <v>155</v>
      </c>
      <c r="E102" s="140"/>
      <c r="F102" s="140"/>
      <c r="G102" s="140"/>
      <c r="H102" s="140"/>
      <c r="I102" s="140"/>
      <c r="J102" s="140"/>
      <c r="K102" s="140"/>
      <c r="L102" s="140"/>
      <c r="M102" s="118">
        <v>0</v>
      </c>
      <c r="N102" s="140"/>
      <c r="O102" s="148">
        <f t="shared" si="20"/>
        <v>54000</v>
      </c>
      <c r="P102" s="118">
        <f t="shared" si="21"/>
        <v>27000</v>
      </c>
      <c r="Q102" s="151">
        <v>27000</v>
      </c>
      <c r="R102" s="119"/>
      <c r="S102" s="119"/>
      <c r="T102" s="151">
        <f>8994.7+8994.7</f>
        <v>17989.4</v>
      </c>
      <c r="U102" s="151"/>
      <c r="V102" s="151">
        <v>62426.4</v>
      </c>
      <c r="W102" s="151"/>
      <c r="X102" s="151">
        <f>8994.7+8994.7</f>
        <v>17989.4</v>
      </c>
      <c r="Y102" s="135"/>
      <c r="Z102" s="153">
        <v>62426.4</v>
      </c>
      <c r="AA102" s="151">
        <f t="shared" si="19"/>
        <v>231.20888888888888</v>
      </c>
      <c r="AB102" s="152">
        <f t="shared" si="17"/>
        <v>35426.4</v>
      </c>
      <c r="AC102" s="119" t="s">
        <v>76</v>
      </c>
      <c r="AD102" s="117">
        <f t="shared" si="18"/>
        <v>96267.8</v>
      </c>
      <c r="AE102" s="153">
        <v>96267.8</v>
      </c>
      <c r="AF102" s="119"/>
      <c r="AG102" s="119"/>
      <c r="AH102" s="138">
        <f>20125.35+17371.35+1115.07+798.02+17760.4+17760.4+938.05+17760.4+594.52+1654.98</f>
        <v>95878.54000000001</v>
      </c>
      <c r="AI102" s="135">
        <f t="shared" si="14"/>
        <v>99.5956488046886</v>
      </c>
    </row>
    <row r="103" spans="1:35" ht="30" hidden="1">
      <c r="A103" s="18" t="s">
        <v>156</v>
      </c>
      <c r="B103" s="18" t="s">
        <v>157</v>
      </c>
      <c r="C103" s="19" t="s">
        <v>158</v>
      </c>
      <c r="D103" s="171" t="s">
        <v>159</v>
      </c>
      <c r="E103" s="172"/>
      <c r="F103" s="172"/>
      <c r="G103" s="172"/>
      <c r="H103" s="172"/>
      <c r="I103" s="172"/>
      <c r="J103" s="172"/>
      <c r="K103" s="172"/>
      <c r="L103" s="172"/>
      <c r="M103" s="167">
        <v>0</v>
      </c>
      <c r="N103" s="172"/>
      <c r="O103" s="168">
        <f t="shared" si="20"/>
        <v>10951615.36</v>
      </c>
      <c r="P103" s="167">
        <f t="shared" si="21"/>
        <v>5475807.68</v>
      </c>
      <c r="Q103" s="128">
        <v>5475807.68</v>
      </c>
      <c r="R103" s="187"/>
      <c r="S103" s="119"/>
      <c r="T103" s="186">
        <v>5475807.68</v>
      </c>
      <c r="U103" s="186"/>
      <c r="V103" s="128">
        <v>0</v>
      </c>
      <c r="W103" s="128"/>
      <c r="X103" s="186">
        <v>5475807.68</v>
      </c>
      <c r="Y103" s="150">
        <f>X103/P103*100</f>
        <v>100</v>
      </c>
      <c r="Z103" s="167">
        <f>Z104+Z105+Z106</f>
        <v>0</v>
      </c>
      <c r="AA103" s="128">
        <f t="shared" si="19"/>
        <v>0</v>
      </c>
      <c r="AB103" s="161">
        <f t="shared" si="17"/>
        <v>-5475807.68</v>
      </c>
      <c r="AC103" s="119"/>
      <c r="AD103" s="117">
        <f t="shared" si="18"/>
        <v>0</v>
      </c>
      <c r="AE103" s="167">
        <f>AE104+AE105+AE106</f>
        <v>0</v>
      </c>
      <c r="AF103" s="119"/>
      <c r="AG103" s="119"/>
      <c r="AH103" s="138"/>
      <c r="AI103" s="135" t="e">
        <f t="shared" si="14"/>
        <v>#DIV/0!</v>
      </c>
    </row>
    <row r="104" spans="1:35" ht="30" hidden="1">
      <c r="A104" s="18" t="s">
        <v>160</v>
      </c>
      <c r="B104" s="18" t="s">
        <v>161</v>
      </c>
      <c r="C104" s="19" t="s">
        <v>158</v>
      </c>
      <c r="D104" s="171" t="s">
        <v>162</v>
      </c>
      <c r="E104" s="172"/>
      <c r="F104" s="172"/>
      <c r="G104" s="172"/>
      <c r="H104" s="172"/>
      <c r="I104" s="172"/>
      <c r="J104" s="172"/>
      <c r="K104" s="172"/>
      <c r="L104" s="172"/>
      <c r="M104" s="167">
        <v>0</v>
      </c>
      <c r="N104" s="172"/>
      <c r="O104" s="168">
        <f t="shared" si="20"/>
        <v>340762.28</v>
      </c>
      <c r="P104" s="167">
        <f t="shared" si="21"/>
        <v>170381.14</v>
      </c>
      <c r="Q104" s="128">
        <f>550000-379618.86</f>
        <v>170381.14</v>
      </c>
      <c r="R104" s="187"/>
      <c r="S104" s="119"/>
      <c r="T104" s="186">
        <v>170381.14</v>
      </c>
      <c r="U104" s="186"/>
      <c r="V104" s="128">
        <v>0</v>
      </c>
      <c r="W104" s="128"/>
      <c r="X104" s="186">
        <v>170381.14</v>
      </c>
      <c r="Y104" s="150">
        <f>X104/P104*100</f>
        <v>100</v>
      </c>
      <c r="Z104" s="167">
        <f>Z105+Z106+Z107</f>
        <v>0</v>
      </c>
      <c r="AA104" s="128">
        <f t="shared" si="19"/>
        <v>0</v>
      </c>
      <c r="AB104" s="161">
        <f t="shared" si="17"/>
        <v>-170381.14</v>
      </c>
      <c r="AC104" s="119"/>
      <c r="AD104" s="117">
        <f t="shared" si="18"/>
        <v>0</v>
      </c>
      <c r="AE104" s="167">
        <f>AE105+AE106+AE107</f>
        <v>0</v>
      </c>
      <c r="AF104" s="119"/>
      <c r="AG104" s="119"/>
      <c r="AH104" s="138"/>
      <c r="AI104" s="135" t="e">
        <f t="shared" si="14"/>
        <v>#DIV/0!</v>
      </c>
    </row>
    <row r="105" spans="1:35" ht="32.25" customHeight="1" hidden="1">
      <c r="A105" s="18" t="s">
        <v>163</v>
      </c>
      <c r="B105" s="18" t="s">
        <v>164</v>
      </c>
      <c r="C105" s="19" t="s">
        <v>158</v>
      </c>
      <c r="D105" s="171" t="s">
        <v>165</v>
      </c>
      <c r="E105" s="172"/>
      <c r="F105" s="172"/>
      <c r="G105" s="172"/>
      <c r="H105" s="172"/>
      <c r="I105" s="172"/>
      <c r="J105" s="172"/>
      <c r="K105" s="172"/>
      <c r="L105" s="172"/>
      <c r="M105" s="167">
        <v>0</v>
      </c>
      <c r="N105" s="172"/>
      <c r="O105" s="168">
        <f t="shared" si="20"/>
        <v>610364</v>
      </c>
      <c r="P105" s="167">
        <f t="shared" si="21"/>
        <v>305182</v>
      </c>
      <c r="Q105" s="128">
        <v>305182</v>
      </c>
      <c r="R105" s="187"/>
      <c r="S105" s="119"/>
      <c r="T105" s="186"/>
      <c r="U105" s="186"/>
      <c r="V105" s="128">
        <v>0</v>
      </c>
      <c r="W105" s="128"/>
      <c r="X105" s="186"/>
      <c r="Y105" s="150"/>
      <c r="Z105" s="167">
        <f>Z106+Z107+Z108</f>
        <v>0</v>
      </c>
      <c r="AA105" s="128">
        <f t="shared" si="19"/>
        <v>0</v>
      </c>
      <c r="AB105" s="161">
        <f t="shared" si="17"/>
        <v>-305182</v>
      </c>
      <c r="AC105" s="119"/>
      <c r="AD105" s="117">
        <f t="shared" si="18"/>
        <v>0</v>
      </c>
      <c r="AE105" s="167">
        <f>AE106+AE107+AE108</f>
        <v>0</v>
      </c>
      <c r="AF105" s="119"/>
      <c r="AG105" s="119"/>
      <c r="AH105" s="138"/>
      <c r="AI105" s="135" t="e">
        <f t="shared" si="14"/>
        <v>#DIV/0!</v>
      </c>
    </row>
    <row r="106" spans="1:35" ht="51.75" customHeight="1" hidden="1">
      <c r="A106" s="18" t="s">
        <v>166</v>
      </c>
      <c r="B106" s="18" t="s">
        <v>167</v>
      </c>
      <c r="C106" s="19" t="s">
        <v>168</v>
      </c>
      <c r="D106" s="171" t="s">
        <v>169</v>
      </c>
      <c r="E106" s="172"/>
      <c r="F106" s="172"/>
      <c r="G106" s="172"/>
      <c r="H106" s="172"/>
      <c r="I106" s="172"/>
      <c r="J106" s="172"/>
      <c r="K106" s="172"/>
      <c r="L106" s="172"/>
      <c r="M106" s="167">
        <f>M107+M108+M109</f>
        <v>0</v>
      </c>
      <c r="N106" s="172"/>
      <c r="O106" s="168">
        <f t="shared" si="20"/>
        <v>20012024</v>
      </c>
      <c r="P106" s="167">
        <f t="shared" si="21"/>
        <v>10006012</v>
      </c>
      <c r="Q106" s="128">
        <f>Q107+Q108+Q109</f>
        <v>10006012</v>
      </c>
      <c r="R106" s="188"/>
      <c r="S106" s="119"/>
      <c r="T106" s="128">
        <f>T107+T108+T109</f>
        <v>7554942</v>
      </c>
      <c r="U106" s="128"/>
      <c r="V106" s="128">
        <v>0</v>
      </c>
      <c r="W106" s="128"/>
      <c r="X106" s="128">
        <f>X107+X108+X109</f>
        <v>7554942</v>
      </c>
      <c r="Y106" s="120">
        <f>X106/P106*100</f>
        <v>75.50402697898024</v>
      </c>
      <c r="Z106" s="167">
        <f>Z107+Z108+Z109</f>
        <v>0</v>
      </c>
      <c r="AA106" s="128">
        <f t="shared" si="19"/>
        <v>0</v>
      </c>
      <c r="AB106" s="161">
        <f t="shared" si="17"/>
        <v>-10006012</v>
      </c>
      <c r="AC106" s="119"/>
      <c r="AD106" s="117">
        <f t="shared" si="18"/>
        <v>0</v>
      </c>
      <c r="AE106" s="167">
        <f>AE107+AE108+AE109</f>
        <v>0</v>
      </c>
      <c r="AF106" s="119"/>
      <c r="AG106" s="119"/>
      <c r="AH106" s="138"/>
      <c r="AI106" s="135" t="e">
        <f t="shared" si="14"/>
        <v>#DIV/0!</v>
      </c>
    </row>
    <row r="107" spans="1:35" ht="24" customHeight="1" hidden="1">
      <c r="A107" s="18"/>
      <c r="B107" s="18"/>
      <c r="C107" s="21"/>
      <c r="D107" s="139" t="s">
        <v>170</v>
      </c>
      <c r="E107" s="172"/>
      <c r="F107" s="172"/>
      <c r="G107" s="172"/>
      <c r="H107" s="172"/>
      <c r="I107" s="172"/>
      <c r="J107" s="172"/>
      <c r="K107" s="172"/>
      <c r="L107" s="172"/>
      <c r="M107" s="142">
        <v>0</v>
      </c>
      <c r="N107" s="172"/>
      <c r="O107" s="145">
        <f t="shared" si="20"/>
        <v>4000000</v>
      </c>
      <c r="P107" s="142">
        <f t="shared" si="21"/>
        <v>2000000</v>
      </c>
      <c r="Q107" s="149">
        <f>1500000+500000</f>
        <v>2000000</v>
      </c>
      <c r="R107" s="188"/>
      <c r="S107" s="119"/>
      <c r="T107" s="186">
        <f>185695.2+283914.6+257099.4+99340.8+62907.6+129854.4+71424+72591.6+236332.8+190290+101258.4+5511.6+10389.6</f>
        <v>1706610.0000000002</v>
      </c>
      <c r="U107" s="186"/>
      <c r="V107" s="128">
        <v>0</v>
      </c>
      <c r="W107" s="128"/>
      <c r="X107" s="186">
        <f>185695.2+283914.6+257099.4+99340.8+62907.6+129854.4+71424+72591.6+236332.8+190290+101258.4+5511.6+10389.6</f>
        <v>1706610.0000000002</v>
      </c>
      <c r="Y107" s="150">
        <f>X107/P107*100</f>
        <v>85.33050000000001</v>
      </c>
      <c r="Z107" s="34">
        <v>0</v>
      </c>
      <c r="AA107" s="128">
        <f t="shared" si="19"/>
        <v>0</v>
      </c>
      <c r="AB107" s="161">
        <f t="shared" si="17"/>
        <v>-2000000</v>
      </c>
      <c r="AC107" s="119"/>
      <c r="AD107" s="117">
        <f t="shared" si="18"/>
        <v>0</v>
      </c>
      <c r="AE107" s="153"/>
      <c r="AF107" s="119"/>
      <c r="AG107" s="119"/>
      <c r="AH107" s="138"/>
      <c r="AI107" s="135" t="e">
        <f t="shared" si="14"/>
        <v>#DIV/0!</v>
      </c>
    </row>
    <row r="108" spans="1:35" ht="17.25" hidden="1">
      <c r="A108" s="18"/>
      <c r="B108" s="18"/>
      <c r="C108" s="21"/>
      <c r="D108" s="139" t="s">
        <v>171</v>
      </c>
      <c r="E108" s="172"/>
      <c r="F108" s="172"/>
      <c r="G108" s="172"/>
      <c r="H108" s="172"/>
      <c r="I108" s="172"/>
      <c r="J108" s="172"/>
      <c r="K108" s="172"/>
      <c r="L108" s="172"/>
      <c r="M108" s="142">
        <v>0</v>
      </c>
      <c r="N108" s="172"/>
      <c r="O108" s="145">
        <f t="shared" si="20"/>
        <v>9012024</v>
      </c>
      <c r="P108" s="142">
        <f t="shared" si="21"/>
        <v>4506012</v>
      </c>
      <c r="Q108" s="149">
        <f>5000000-500000+6012</f>
        <v>4506012</v>
      </c>
      <c r="R108" s="188"/>
      <c r="S108" s="119"/>
      <c r="T108" s="186">
        <f>309091.2+295428.55+104848.25+410089.8+99821.4+824466.6+79300.2-85899.6+234306+338492.4+314325+469128-30844.2+68012.4+172592.4+166410+6012</f>
        <v>3775580.3999999994</v>
      </c>
      <c r="U108" s="186"/>
      <c r="V108" s="128">
        <v>0</v>
      </c>
      <c r="W108" s="128"/>
      <c r="X108" s="186">
        <f>309091.2+295428.55+104848.25+410089.8+99821.4+824466.6+79300.2-85899.6+234306+338492.4+314325+469128-30844.2+68012.4+172592.4+166410+6012</f>
        <v>3775580.3999999994</v>
      </c>
      <c r="Y108" s="150">
        <f>X108/P108*100</f>
        <v>83.78984343583637</v>
      </c>
      <c r="Z108" s="34">
        <v>0</v>
      </c>
      <c r="AA108" s="128">
        <f t="shared" si="19"/>
        <v>0</v>
      </c>
      <c r="AB108" s="161">
        <f t="shared" si="17"/>
        <v>-4506012</v>
      </c>
      <c r="AC108" s="119"/>
      <c r="AD108" s="117">
        <f t="shared" si="18"/>
        <v>0</v>
      </c>
      <c r="AE108" s="153"/>
      <c r="AF108" s="119"/>
      <c r="AG108" s="119"/>
      <c r="AH108" s="138"/>
      <c r="AI108" s="135" t="e">
        <f t="shared" si="14"/>
        <v>#DIV/0!</v>
      </c>
    </row>
    <row r="109" spans="1:35" ht="21" customHeight="1" hidden="1">
      <c r="A109" s="18"/>
      <c r="B109" s="18"/>
      <c r="C109" s="21"/>
      <c r="D109" s="139" t="s">
        <v>172</v>
      </c>
      <c r="E109" s="172"/>
      <c r="F109" s="172"/>
      <c r="G109" s="172"/>
      <c r="H109" s="172"/>
      <c r="I109" s="172"/>
      <c r="J109" s="172"/>
      <c r="K109" s="172"/>
      <c r="L109" s="172"/>
      <c r="M109" s="142">
        <v>0</v>
      </c>
      <c r="N109" s="172"/>
      <c r="O109" s="145">
        <f t="shared" si="20"/>
        <v>7000000</v>
      </c>
      <c r="P109" s="142">
        <f t="shared" si="21"/>
        <v>3500000</v>
      </c>
      <c r="Q109" s="149">
        <v>3500000</v>
      </c>
      <c r="R109" s="188"/>
      <c r="S109" s="119"/>
      <c r="T109" s="186">
        <v>2072751.6</v>
      </c>
      <c r="U109" s="186"/>
      <c r="V109" s="128">
        <v>0</v>
      </c>
      <c r="W109" s="128"/>
      <c r="X109" s="186">
        <v>2072751.6</v>
      </c>
      <c r="Y109" s="150">
        <f>X109/P109*100</f>
        <v>59.221474285714294</v>
      </c>
      <c r="Z109" s="34">
        <v>0</v>
      </c>
      <c r="AA109" s="128">
        <f t="shared" si="19"/>
        <v>0</v>
      </c>
      <c r="AB109" s="161">
        <f t="shared" si="17"/>
        <v>-3500000</v>
      </c>
      <c r="AC109" s="119"/>
      <c r="AD109" s="117">
        <f t="shared" si="18"/>
        <v>0</v>
      </c>
      <c r="AE109" s="153"/>
      <c r="AF109" s="119"/>
      <c r="AG109" s="119"/>
      <c r="AH109" s="138"/>
      <c r="AI109" s="135" t="e">
        <f t="shared" si="14"/>
        <v>#DIV/0!</v>
      </c>
    </row>
    <row r="110" spans="1:35" ht="21" customHeight="1">
      <c r="A110" s="18"/>
      <c r="B110" s="18"/>
      <c r="C110" s="21"/>
      <c r="D110" s="139" t="s">
        <v>213</v>
      </c>
      <c r="E110" s="172"/>
      <c r="F110" s="172"/>
      <c r="G110" s="172"/>
      <c r="H110" s="172"/>
      <c r="I110" s="172"/>
      <c r="J110" s="172"/>
      <c r="K110" s="172"/>
      <c r="L110" s="172"/>
      <c r="M110" s="142"/>
      <c r="N110" s="172"/>
      <c r="O110" s="145"/>
      <c r="P110" s="142"/>
      <c r="Q110" s="149"/>
      <c r="R110" s="188"/>
      <c r="S110" s="119"/>
      <c r="T110" s="186"/>
      <c r="U110" s="186"/>
      <c r="V110" s="128"/>
      <c r="W110" s="128"/>
      <c r="X110" s="186"/>
      <c r="Y110" s="150"/>
      <c r="Z110" s="34"/>
      <c r="AA110" s="128"/>
      <c r="AB110" s="161"/>
      <c r="AC110" s="119"/>
      <c r="AD110" s="189">
        <f>AE110</f>
        <v>3456.5</v>
      </c>
      <c r="AE110" s="153">
        <v>3456.5</v>
      </c>
      <c r="AF110" s="119"/>
      <c r="AG110" s="119"/>
      <c r="AH110" s="138">
        <f>1115.07+798.02+938.05+594.52</f>
        <v>3445.66</v>
      </c>
      <c r="AI110" s="135">
        <f t="shared" si="14"/>
        <v>99.68638796470418</v>
      </c>
    </row>
    <row r="111" spans="1:35" ht="64.5" customHeight="1">
      <c r="A111" s="18"/>
      <c r="B111" s="20" t="s">
        <v>203</v>
      </c>
      <c r="C111" s="21"/>
      <c r="D111" s="190" t="s">
        <v>221</v>
      </c>
      <c r="E111" s="123"/>
      <c r="F111" s="123"/>
      <c r="G111" s="123"/>
      <c r="H111" s="123"/>
      <c r="I111" s="123"/>
      <c r="J111" s="123"/>
      <c r="K111" s="123"/>
      <c r="L111" s="123"/>
      <c r="M111" s="191"/>
      <c r="N111" s="123"/>
      <c r="O111" s="192"/>
      <c r="P111" s="191"/>
      <c r="Q111" s="193"/>
      <c r="R111" s="194"/>
      <c r="S111" s="194"/>
      <c r="T111" s="193"/>
      <c r="U111" s="193"/>
      <c r="V111" s="193"/>
      <c r="W111" s="193"/>
      <c r="X111" s="193"/>
      <c r="Y111" s="195"/>
      <c r="Z111" s="196"/>
      <c r="AA111" s="193"/>
      <c r="AB111" s="197"/>
      <c r="AC111" s="194"/>
      <c r="AD111" s="198">
        <f>AE111</f>
        <v>666836.4</v>
      </c>
      <c r="AE111" s="196">
        <v>666836.4</v>
      </c>
      <c r="AF111" s="43"/>
      <c r="AG111" s="43"/>
      <c r="AH111" s="153">
        <f>606679.2+57642</f>
        <v>664321.2</v>
      </c>
      <c r="AI111" s="135">
        <f t="shared" si="14"/>
        <v>99.62281603103848</v>
      </c>
    </row>
    <row r="112" spans="1:35" ht="21" customHeight="1">
      <c r="A112" s="18"/>
      <c r="B112" s="15" t="s">
        <v>22</v>
      </c>
      <c r="C112" s="16">
        <v>1</v>
      </c>
      <c r="D112" s="103" t="s">
        <v>173</v>
      </c>
      <c r="E112" s="65"/>
      <c r="F112" s="65"/>
      <c r="G112" s="66"/>
      <c r="H112" s="65"/>
      <c r="I112" s="65"/>
      <c r="J112" s="67"/>
      <c r="K112" s="67"/>
      <c r="L112" s="67"/>
      <c r="M112" s="199">
        <f>M113</f>
        <v>28400</v>
      </c>
      <c r="N112" s="200"/>
      <c r="O112" s="201">
        <f>P112+Q112</f>
        <v>56800</v>
      </c>
      <c r="P112" s="105">
        <f>Q112+R112</f>
        <v>28400</v>
      </c>
      <c r="Q112" s="104">
        <f>Q113</f>
        <v>28400</v>
      </c>
      <c r="R112" s="104">
        <f>R113</f>
        <v>0</v>
      </c>
      <c r="S112" s="104">
        <f>S113</f>
        <v>0</v>
      </c>
      <c r="T112" s="104">
        <f>T113</f>
        <v>0</v>
      </c>
      <c r="U112" s="104"/>
      <c r="V112" s="104">
        <f>P112*(0.9)</f>
        <v>25560</v>
      </c>
      <c r="W112" s="104"/>
      <c r="X112" s="104">
        <f>X113</f>
        <v>0</v>
      </c>
      <c r="Y112" s="107">
        <f>X112/P112*100</f>
        <v>0</v>
      </c>
      <c r="Z112" s="105">
        <v>50000</v>
      </c>
      <c r="AA112" s="199">
        <f>Z112/P112*100</f>
        <v>176.05633802816902</v>
      </c>
      <c r="AB112" s="273"/>
      <c r="AC112" s="43" t="s">
        <v>174</v>
      </c>
      <c r="AD112" s="109">
        <f aca="true" t="shared" si="22" ref="AD112:AD118">AE112+AF112</f>
        <v>30700</v>
      </c>
      <c r="AE112" s="202">
        <f>AE113</f>
        <v>30700</v>
      </c>
      <c r="AF112" s="72"/>
      <c r="AG112" s="72"/>
      <c r="AH112" s="203">
        <v>0</v>
      </c>
      <c r="AI112" s="107">
        <f t="shared" si="14"/>
        <v>0</v>
      </c>
    </row>
    <row r="113" spans="1:35" ht="21" customHeight="1">
      <c r="A113" s="18"/>
      <c r="B113" s="78" t="s">
        <v>98</v>
      </c>
      <c r="C113" s="30"/>
      <c r="D113" s="174" t="s">
        <v>175</v>
      </c>
      <c r="E113" s="9"/>
      <c r="F113" s="9"/>
      <c r="G113" s="10"/>
      <c r="H113" s="9"/>
      <c r="I113" s="9"/>
      <c r="J113" s="204"/>
      <c r="K113" s="204"/>
      <c r="L113" s="204"/>
      <c r="M113" s="205">
        <v>28400</v>
      </c>
      <c r="N113" s="204"/>
      <c r="O113" s="206">
        <f>P113+Q113</f>
        <v>56800</v>
      </c>
      <c r="P113" s="207">
        <f>Q113+R113</f>
        <v>28400</v>
      </c>
      <c r="Q113" s="128">
        <v>28400</v>
      </c>
      <c r="R113" s="128">
        <v>0</v>
      </c>
      <c r="S113" s="128">
        <v>0</v>
      </c>
      <c r="T113" s="128">
        <v>0</v>
      </c>
      <c r="U113" s="128"/>
      <c r="V113" s="128">
        <f>P113*(0.9)</f>
        <v>25560</v>
      </c>
      <c r="W113" s="128"/>
      <c r="X113" s="128">
        <v>0</v>
      </c>
      <c r="Y113" s="159">
        <f>X113/P113*100</f>
        <v>0</v>
      </c>
      <c r="Z113" s="208">
        <v>50000</v>
      </c>
      <c r="AA113" s="128">
        <f>Z113/P113*100</f>
        <v>176.05633802816902</v>
      </c>
      <c r="AB113" s="273"/>
      <c r="AC113" s="43"/>
      <c r="AD113" s="158">
        <f t="shared" si="22"/>
        <v>30700</v>
      </c>
      <c r="AE113" s="130">
        <v>30700</v>
      </c>
      <c r="AF113" s="53"/>
      <c r="AG113" s="53"/>
      <c r="AH113" s="209">
        <v>0</v>
      </c>
      <c r="AI113" s="129">
        <f t="shared" si="14"/>
        <v>0</v>
      </c>
    </row>
    <row r="114" spans="1:35" ht="52.5" customHeight="1">
      <c r="A114" s="18"/>
      <c r="B114" s="31" t="s">
        <v>23</v>
      </c>
      <c r="C114" s="32"/>
      <c r="D114" s="210" t="s">
        <v>138</v>
      </c>
      <c r="E114" s="211"/>
      <c r="F114" s="211"/>
      <c r="G114" s="211"/>
      <c r="H114" s="211"/>
      <c r="I114" s="211"/>
      <c r="J114" s="211"/>
      <c r="K114" s="211"/>
      <c r="L114" s="211"/>
      <c r="M114" s="212"/>
      <c r="N114" s="212"/>
      <c r="O114" s="212"/>
      <c r="P114" s="212"/>
      <c r="Q114" s="212"/>
      <c r="R114" s="212"/>
      <c r="S114" s="212"/>
      <c r="T114" s="212"/>
      <c r="U114" s="212"/>
      <c r="V114" s="104"/>
      <c r="W114" s="104"/>
      <c r="X114" s="212"/>
      <c r="Y114" s="212"/>
      <c r="Z114" s="202"/>
      <c r="AA114" s="104"/>
      <c r="AB114" s="108"/>
      <c r="AC114" s="213"/>
      <c r="AD114" s="109">
        <f t="shared" si="22"/>
        <v>777789.24</v>
      </c>
      <c r="AE114" s="202">
        <f>AE115</f>
        <v>777789.24</v>
      </c>
      <c r="AF114" s="72"/>
      <c r="AG114" s="72"/>
      <c r="AH114" s="68">
        <f>AH116</f>
        <v>468468.39999999997</v>
      </c>
      <c r="AI114" s="107">
        <f>AH114/AD114*100</f>
        <v>60.23076379920093</v>
      </c>
    </row>
    <row r="115" spans="1:35" ht="20.25" customHeight="1">
      <c r="A115" s="18" t="s">
        <v>139</v>
      </c>
      <c r="B115" s="20" t="s">
        <v>125</v>
      </c>
      <c r="C115" s="19"/>
      <c r="D115" s="110" t="s">
        <v>140</v>
      </c>
      <c r="E115" s="172"/>
      <c r="F115" s="172"/>
      <c r="G115" s="172"/>
      <c r="H115" s="172"/>
      <c r="I115" s="172"/>
      <c r="J115" s="172"/>
      <c r="K115" s="172"/>
      <c r="L115" s="172"/>
      <c r="M115" s="214">
        <f>M116</f>
        <v>135989</v>
      </c>
      <c r="N115" s="214"/>
      <c r="O115" s="168">
        <f>P115+Q115</f>
        <v>271978</v>
      </c>
      <c r="P115" s="167">
        <f>Q115+R115</f>
        <v>135989</v>
      </c>
      <c r="Q115" s="128">
        <f>Q116</f>
        <v>135989</v>
      </c>
      <c r="R115" s="119"/>
      <c r="S115" s="119"/>
      <c r="T115" s="128">
        <f>T116</f>
        <v>128500.84000000001</v>
      </c>
      <c r="U115" s="128"/>
      <c r="V115" s="128">
        <f>V116</f>
        <v>1147180.09</v>
      </c>
      <c r="W115" s="128">
        <v>402800</v>
      </c>
      <c r="X115" s="128">
        <f>X116</f>
        <v>128500.84000000001</v>
      </c>
      <c r="Y115" s="135">
        <f>X115/P115*100</f>
        <v>94.4935546257418</v>
      </c>
      <c r="Z115" s="167">
        <f>Z116</f>
        <v>1147180.09</v>
      </c>
      <c r="AA115" s="128">
        <f>Z115/P115*100</f>
        <v>843.5830030370104</v>
      </c>
      <c r="AB115" s="161">
        <f>Z115-P115</f>
        <v>1011191.0900000001</v>
      </c>
      <c r="AC115" s="119"/>
      <c r="AD115" s="189">
        <f t="shared" si="22"/>
        <v>777789.24</v>
      </c>
      <c r="AE115" s="153">
        <f>AE116+AE117</f>
        <v>777789.24</v>
      </c>
      <c r="AF115" s="119"/>
      <c r="AG115" s="43"/>
      <c r="AH115" s="153">
        <f>AH116+AH117</f>
        <v>468468.39999999997</v>
      </c>
      <c r="AI115" s="159">
        <f>AH115/AD115*100</f>
        <v>60.23076379920093</v>
      </c>
    </row>
    <row r="116" spans="1:35" ht="33" customHeight="1">
      <c r="A116" s="18"/>
      <c r="B116" s="20"/>
      <c r="C116" s="19"/>
      <c r="D116" s="147" t="s">
        <v>80</v>
      </c>
      <c r="E116" s="140"/>
      <c r="F116" s="140"/>
      <c r="G116" s="140"/>
      <c r="H116" s="140"/>
      <c r="I116" s="140"/>
      <c r="J116" s="140"/>
      <c r="K116" s="140"/>
      <c r="L116" s="140"/>
      <c r="M116" s="149">
        <f>135989</f>
        <v>135989</v>
      </c>
      <c r="N116" s="163"/>
      <c r="O116" s="145">
        <f>P116+Q116</f>
        <v>271978</v>
      </c>
      <c r="P116" s="142">
        <f>Q116+R116</f>
        <v>135989</v>
      </c>
      <c r="Q116" s="127">
        <f>135989</f>
        <v>135989</v>
      </c>
      <c r="R116" s="99"/>
      <c r="S116" s="99"/>
      <c r="T116" s="127">
        <f>6438.31+13187.76+54909+12393.8+41571.97</f>
        <v>128500.84000000001</v>
      </c>
      <c r="U116" s="127"/>
      <c r="V116" s="131">
        <v>1147180.09</v>
      </c>
      <c r="W116" s="131">
        <f>W115</f>
        <v>402800</v>
      </c>
      <c r="X116" s="127">
        <f>6438.31+13187.76+54909+12393.8+41571.97</f>
        <v>128500.84000000001</v>
      </c>
      <c r="Y116" s="146">
        <f>X116/P116*100</f>
        <v>94.4935546257418</v>
      </c>
      <c r="Z116" s="34">
        <v>1147180.09</v>
      </c>
      <c r="AA116" s="131">
        <f>Z116/P116*100</f>
        <v>843.5830030370104</v>
      </c>
      <c r="AB116" s="132">
        <f>Z116-P116</f>
        <v>1011191.0900000001</v>
      </c>
      <c r="AC116" s="99" t="s">
        <v>81</v>
      </c>
      <c r="AD116" s="158">
        <f t="shared" si="22"/>
        <v>736478.54</v>
      </c>
      <c r="AE116" s="34">
        <v>736478.54</v>
      </c>
      <c r="AF116" s="43"/>
      <c r="AG116" s="43"/>
      <c r="AH116" s="216">
        <f>11291.3+9563.01+9331.63+11197.95+10805.05+9724.53+8211.82+12317.77+10264.82+10264.82+40136.29+9912.46+80056.91+8624.61+41052.05+7295.54+68000+12209.06+8525.93+10055.8+69741.22+9885.83</f>
        <v>468468.39999999997</v>
      </c>
      <c r="AI116" s="129">
        <f>AH116/AD116*100</f>
        <v>63.60923972068486</v>
      </c>
    </row>
    <row r="117" spans="1:37" ht="32.25" customHeight="1">
      <c r="A117" s="18"/>
      <c r="B117" s="18"/>
      <c r="C117" s="33"/>
      <c r="D117" s="217" t="s">
        <v>219</v>
      </c>
      <c r="E117" s="218"/>
      <c r="F117" s="218"/>
      <c r="G117" s="218"/>
      <c r="H117" s="218"/>
      <c r="I117" s="218"/>
      <c r="J117" s="218"/>
      <c r="K117" s="218"/>
      <c r="L117" s="218"/>
      <c r="M117" s="218"/>
      <c r="N117" s="218"/>
      <c r="O117" s="218"/>
      <c r="P117" s="218"/>
      <c r="Q117" s="218"/>
      <c r="R117" s="218"/>
      <c r="S117" s="218"/>
      <c r="T117" s="218"/>
      <c r="U117" s="218"/>
      <c r="V117" s="218"/>
      <c r="W117" s="218"/>
      <c r="X117" s="218"/>
      <c r="Y117" s="218"/>
      <c r="Z117" s="218"/>
      <c r="AA117" s="218"/>
      <c r="AB117" s="218"/>
      <c r="AC117" s="218"/>
      <c r="AD117" s="158">
        <f t="shared" si="22"/>
        <v>41310.7</v>
      </c>
      <c r="AE117" s="34">
        <v>41310.7</v>
      </c>
      <c r="AF117" s="43"/>
      <c r="AG117" s="43"/>
      <c r="AH117" s="129">
        <v>0</v>
      </c>
      <c r="AI117" s="129">
        <f>AH117/AD117*100</f>
        <v>0</v>
      </c>
      <c r="AK117" s="28"/>
    </row>
    <row r="118" spans="1:35" ht="0.75" customHeight="1" hidden="1">
      <c r="A118" s="18"/>
      <c r="B118" s="18"/>
      <c r="C118" s="33"/>
      <c r="D118" s="147"/>
      <c r="E118" s="140"/>
      <c r="F118" s="140"/>
      <c r="G118" s="140"/>
      <c r="H118" s="140"/>
      <c r="I118" s="140"/>
      <c r="J118" s="140"/>
      <c r="K118" s="140"/>
      <c r="L118" s="140"/>
      <c r="M118" s="149"/>
      <c r="N118" s="163"/>
      <c r="O118" s="145"/>
      <c r="P118" s="142"/>
      <c r="Q118" s="127"/>
      <c r="R118" s="99"/>
      <c r="S118" s="99"/>
      <c r="T118" s="127"/>
      <c r="U118" s="127"/>
      <c r="V118" s="131"/>
      <c r="W118" s="131"/>
      <c r="X118" s="127"/>
      <c r="Y118" s="146"/>
      <c r="Z118" s="34"/>
      <c r="AA118" s="131"/>
      <c r="AB118" s="132"/>
      <c r="AC118" s="99"/>
      <c r="AD118" s="158">
        <f t="shared" si="22"/>
        <v>736478.54</v>
      </c>
      <c r="AE118" s="34">
        <v>736478.54</v>
      </c>
      <c r="AF118" s="219"/>
      <c r="AG118" s="219"/>
      <c r="AH118" s="220"/>
      <c r="AI118" s="221"/>
    </row>
    <row r="119" spans="1:35" ht="33" customHeight="1">
      <c r="A119" s="18"/>
      <c r="B119" s="31" t="s">
        <v>158</v>
      </c>
      <c r="C119" s="82"/>
      <c r="D119" s="210" t="s">
        <v>200</v>
      </c>
      <c r="E119" s="222"/>
      <c r="F119" s="222"/>
      <c r="G119" s="222"/>
      <c r="H119" s="222"/>
      <c r="I119" s="222"/>
      <c r="J119" s="222"/>
      <c r="K119" s="222"/>
      <c r="L119" s="222"/>
      <c r="M119" s="223"/>
      <c r="N119" s="224"/>
      <c r="O119" s="225"/>
      <c r="P119" s="212"/>
      <c r="Q119" s="226"/>
      <c r="R119" s="227"/>
      <c r="S119" s="227"/>
      <c r="T119" s="226"/>
      <c r="U119" s="226"/>
      <c r="V119" s="228"/>
      <c r="W119" s="228"/>
      <c r="X119" s="226"/>
      <c r="Y119" s="229"/>
      <c r="Z119" s="83"/>
      <c r="AA119" s="228"/>
      <c r="AB119" s="230"/>
      <c r="AC119" s="227"/>
      <c r="AD119" s="109">
        <f>AE119</f>
        <v>4500000</v>
      </c>
      <c r="AE119" s="202">
        <f>AE120</f>
        <v>4500000</v>
      </c>
      <c r="AF119" s="72"/>
      <c r="AG119" s="72"/>
      <c r="AH119" s="231">
        <f>AH120</f>
        <v>0</v>
      </c>
      <c r="AI119" s="107">
        <f>AH119/AD119*100</f>
        <v>0</v>
      </c>
    </row>
    <row r="120" spans="1:35" ht="36.75" customHeight="1">
      <c r="A120" s="18"/>
      <c r="B120" s="20" t="s">
        <v>201</v>
      </c>
      <c r="C120" s="33"/>
      <c r="D120" s="147" t="s">
        <v>202</v>
      </c>
      <c r="E120" s="140"/>
      <c r="F120" s="140"/>
      <c r="G120" s="140"/>
      <c r="H120" s="140"/>
      <c r="I120" s="140"/>
      <c r="J120" s="140"/>
      <c r="K120" s="140"/>
      <c r="L120" s="140"/>
      <c r="M120" s="149"/>
      <c r="N120" s="163"/>
      <c r="O120" s="145"/>
      <c r="P120" s="142"/>
      <c r="Q120" s="127"/>
      <c r="R120" s="99"/>
      <c r="S120" s="99"/>
      <c r="T120" s="127"/>
      <c r="U120" s="127"/>
      <c r="V120" s="131"/>
      <c r="W120" s="131"/>
      <c r="X120" s="127"/>
      <c r="Y120" s="146"/>
      <c r="Z120" s="34"/>
      <c r="AA120" s="131"/>
      <c r="AB120" s="132"/>
      <c r="AC120" s="99"/>
      <c r="AD120" s="158">
        <f>AE120</f>
        <v>4500000</v>
      </c>
      <c r="AE120" s="34">
        <v>4500000</v>
      </c>
      <c r="AF120" s="43"/>
      <c r="AG120" s="43"/>
      <c r="AH120" s="232">
        <v>0</v>
      </c>
      <c r="AI120" s="129">
        <f>AH120/AD120*100</f>
        <v>0</v>
      </c>
    </row>
    <row r="121" spans="1:35" ht="36.75" customHeight="1">
      <c r="A121" s="18"/>
      <c r="B121" s="20" t="s">
        <v>243</v>
      </c>
      <c r="C121" s="33"/>
      <c r="D121" s="244" t="s">
        <v>242</v>
      </c>
      <c r="E121" s="140"/>
      <c r="F121" s="140"/>
      <c r="G121" s="140"/>
      <c r="H121" s="140"/>
      <c r="I121" s="140"/>
      <c r="J121" s="140"/>
      <c r="K121" s="140"/>
      <c r="L121" s="140"/>
      <c r="M121" s="149"/>
      <c r="N121" s="163"/>
      <c r="O121" s="145"/>
      <c r="P121" s="142"/>
      <c r="Q121" s="127"/>
      <c r="R121" s="99"/>
      <c r="S121" s="99"/>
      <c r="T121" s="127"/>
      <c r="U121" s="127"/>
      <c r="V121" s="131"/>
      <c r="W121" s="131"/>
      <c r="X121" s="127"/>
      <c r="Y121" s="146"/>
      <c r="Z121" s="34"/>
      <c r="AA121" s="131"/>
      <c r="AB121" s="132"/>
      <c r="AC121" s="99"/>
      <c r="AD121" s="158">
        <f>AE121</f>
        <v>307976.51</v>
      </c>
      <c r="AE121" s="243">
        <v>307976.51</v>
      </c>
      <c r="AF121" s="219"/>
      <c r="AG121" s="219"/>
      <c r="AH121" s="232">
        <f>AH122</f>
        <v>0</v>
      </c>
      <c r="AI121" s="129">
        <f>AH121/AD121*100</f>
        <v>0</v>
      </c>
    </row>
    <row r="122" spans="1:35" ht="27.75" customHeight="1">
      <c r="A122" s="18"/>
      <c r="B122" s="20" t="s">
        <v>244</v>
      </c>
      <c r="C122" s="33"/>
      <c r="D122" s="147" t="s">
        <v>245</v>
      </c>
      <c r="E122" s="140"/>
      <c r="F122" s="140"/>
      <c r="G122" s="140"/>
      <c r="H122" s="140"/>
      <c r="I122" s="140"/>
      <c r="J122" s="140"/>
      <c r="K122" s="140"/>
      <c r="L122" s="140"/>
      <c r="M122" s="149"/>
      <c r="N122" s="163"/>
      <c r="O122" s="145"/>
      <c r="P122" s="142"/>
      <c r="Q122" s="127"/>
      <c r="R122" s="99"/>
      <c r="S122" s="99"/>
      <c r="T122" s="127"/>
      <c r="U122" s="127"/>
      <c r="V122" s="131"/>
      <c r="W122" s="131"/>
      <c r="X122" s="127"/>
      <c r="Y122" s="146"/>
      <c r="Z122" s="34"/>
      <c r="AA122" s="131"/>
      <c r="AB122" s="132"/>
      <c r="AC122" s="99"/>
      <c r="AD122" s="158">
        <f>AE122</f>
        <v>307976.51</v>
      </c>
      <c r="AE122" s="243">
        <v>307976.51</v>
      </c>
      <c r="AF122" s="219"/>
      <c r="AG122" s="219"/>
      <c r="AH122" s="232"/>
      <c r="AI122" s="129"/>
    </row>
    <row r="123" spans="1:35" ht="18" customHeight="1">
      <c r="A123" s="35"/>
      <c r="B123" s="35"/>
      <c r="C123" s="36"/>
      <c r="D123" s="233" t="s">
        <v>101</v>
      </c>
      <c r="E123" s="234"/>
      <c r="F123" s="234"/>
      <c r="G123" s="234"/>
      <c r="H123" s="234"/>
      <c r="I123" s="235"/>
      <c r="J123" s="235"/>
      <c r="K123" s="235"/>
      <c r="L123" s="235"/>
      <c r="M123" s="168" t="e">
        <f>M112+M52</f>
        <v>#REF!</v>
      </c>
      <c r="N123" s="168" t="e">
        <f>N112+N52</f>
        <v>#VALUE!</v>
      </c>
      <c r="O123" s="168" t="e">
        <f>O112+O52</f>
        <v>#REF!</v>
      </c>
      <c r="P123" s="167" t="e">
        <f>P112+P52</f>
        <v>#REF!</v>
      </c>
      <c r="Q123" s="168"/>
      <c r="R123" s="168"/>
      <c r="S123" s="168"/>
      <c r="T123" s="168"/>
      <c r="U123" s="168"/>
      <c r="V123" s="168"/>
      <c r="W123" s="128"/>
      <c r="X123" s="168"/>
      <c r="Y123" s="168"/>
      <c r="Z123" s="167" t="e">
        <f>Z112+Z52</f>
        <v>#REF!</v>
      </c>
      <c r="AA123" s="168" t="e">
        <f>AA112+AA52</f>
        <v>#REF!</v>
      </c>
      <c r="AB123" s="168" t="e">
        <f>AB112+AB52</f>
        <v>#REF!</v>
      </c>
      <c r="AC123" s="168"/>
      <c r="AD123" s="133">
        <f>AD119+AD114+AD112+AD52+AD50+AD8+AD121</f>
        <v>91319629.188199</v>
      </c>
      <c r="AE123" s="133">
        <f>AE119+AE114+AE112+AE52+AE50+AE8+AE121</f>
        <v>60840345.508199</v>
      </c>
      <c r="AF123" s="133">
        <f>AF119+AF114+AF112+AF52+AF50+AF8</f>
        <v>30479283.68</v>
      </c>
      <c r="AG123" s="133">
        <f>AG119+AG114+AG112+AG52+AG50+AG8</f>
        <v>30479283.68</v>
      </c>
      <c r="AH123" s="133">
        <f>AH119+AH114+AH112+AH52+AH50+AH8+AH121</f>
        <v>58758165.62</v>
      </c>
      <c r="AI123" s="215">
        <f>AH123/AD123*100</f>
        <v>64.34341241016905</v>
      </c>
    </row>
    <row r="124" spans="16:23" ht="12.75">
      <c r="P124" s="29"/>
      <c r="R124" s="45"/>
      <c r="S124" s="45"/>
      <c r="V124" s="28"/>
      <c r="W124" s="28"/>
    </row>
    <row r="125" spans="1:30" ht="12.75">
      <c r="A125" s="37"/>
      <c r="B125" s="39"/>
      <c r="C125" s="38"/>
      <c r="P125" s="29"/>
      <c r="R125" s="5"/>
      <c r="S125" s="5"/>
      <c r="T125" s="5"/>
      <c r="U125" s="5"/>
      <c r="V125" s="5"/>
      <c r="W125" s="5"/>
      <c r="X125" s="5"/>
      <c r="AD125" s="77"/>
    </row>
    <row r="126" spans="4:33" s="88" customFormat="1" ht="18.75">
      <c r="D126" s="89"/>
      <c r="E126" s="89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90"/>
      <c r="Q126" s="89"/>
      <c r="R126" s="91"/>
      <c r="S126" s="91"/>
      <c r="T126" s="91"/>
      <c r="U126" s="91"/>
      <c r="V126" s="91"/>
      <c r="W126" s="91"/>
      <c r="X126" s="91"/>
      <c r="Y126" s="89"/>
      <c r="Z126" s="89"/>
      <c r="AA126" s="89"/>
      <c r="AB126" s="89"/>
      <c r="AC126" s="89"/>
      <c r="AD126" s="89"/>
      <c r="AG126" s="92"/>
    </row>
    <row r="127" spans="16:24" ht="12.75">
      <c r="P127" s="29"/>
      <c r="R127" s="5"/>
      <c r="S127" s="5"/>
      <c r="T127" s="5"/>
      <c r="U127" s="5"/>
      <c r="V127" s="5"/>
      <c r="W127" s="5"/>
      <c r="X127" s="5"/>
    </row>
    <row r="128" spans="16:24" ht="12.75">
      <c r="P128" s="29"/>
      <c r="R128" s="5"/>
      <c r="S128" s="5"/>
      <c r="T128" s="5"/>
      <c r="U128" s="5"/>
      <c r="V128" s="5"/>
      <c r="W128" s="5"/>
      <c r="X128" s="5"/>
    </row>
    <row r="129" ht="12.75">
      <c r="AE129" s="29"/>
    </row>
    <row r="201" ht="12.75"/>
    <row r="202" ht="12.75"/>
    <row r="203" ht="12.75"/>
    <row r="204" ht="12.75"/>
    <row r="205" ht="12.75"/>
  </sheetData>
  <sheetProtection/>
  <mergeCells count="35">
    <mergeCell ref="AB112:AB113"/>
    <mergeCell ref="S6:T6"/>
    <mergeCell ref="A5:A6"/>
    <mergeCell ref="C5:C6"/>
    <mergeCell ref="J5:J6"/>
    <mergeCell ref="Q5:Q6"/>
    <mergeCell ref="R5:R6"/>
    <mergeCell ref="S5:T5"/>
    <mergeCell ref="W5:W6"/>
    <mergeCell ref="B6:B7"/>
    <mergeCell ref="AC98:AC100"/>
    <mergeCell ref="X5:X6"/>
    <mergeCell ref="Y5:Y6"/>
    <mergeCell ref="Z5:Z6"/>
    <mergeCell ref="AC70:AC72"/>
    <mergeCell ref="AC73:AC77"/>
    <mergeCell ref="C92:C93"/>
    <mergeCell ref="D6:D7"/>
    <mergeCell ref="C66:C68"/>
    <mergeCell ref="AC5:AC6"/>
    <mergeCell ref="AA5:AA6"/>
    <mergeCell ref="AB5:AB6"/>
    <mergeCell ref="M5:M6"/>
    <mergeCell ref="W56:W57"/>
    <mergeCell ref="AC56:AC57"/>
    <mergeCell ref="V5:V6"/>
    <mergeCell ref="AH6:AH7"/>
    <mergeCell ref="AI6:AI7"/>
    <mergeCell ref="B4:AG4"/>
    <mergeCell ref="L5:L6"/>
    <mergeCell ref="K5:K6"/>
    <mergeCell ref="AE6:AE7"/>
    <mergeCell ref="AF6:AF7"/>
    <mergeCell ref="AD6:AD7"/>
    <mergeCell ref="N5:P6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4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2017-11-21T14:15:07Z</cp:lastPrinted>
  <dcterms:created xsi:type="dcterms:W3CDTF">2014-01-17T10:52:16Z</dcterms:created>
  <dcterms:modified xsi:type="dcterms:W3CDTF">2017-11-21T14:15:10Z</dcterms:modified>
  <cp:category/>
  <cp:version/>
  <cp:contentType/>
  <cp:contentStatus/>
</cp:coreProperties>
</file>